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grams &amp; Plans\IFO\SO BB\InKind\2019 Spreadsheets\"/>
    </mc:Choice>
  </mc:AlternateContent>
  <xr:revisionPtr revIDLastSave="0" documentId="8_{CD739F94-0668-46D9-A446-B968CCA82041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2019 Breakdow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87" i="1" l="1"/>
  <c r="F786" i="1"/>
  <c r="F785" i="1"/>
  <c r="F784" i="1"/>
  <c r="F783" i="1"/>
  <c r="F782" i="1"/>
  <c r="F781" i="1"/>
  <c r="F780" i="1"/>
  <c r="F779" i="1"/>
  <c r="F777" i="1"/>
  <c r="F776" i="1"/>
  <c r="F774" i="1"/>
  <c r="F772" i="1"/>
  <c r="F770" i="1"/>
  <c r="F767" i="1"/>
  <c r="F765" i="1"/>
  <c r="F764" i="1"/>
  <c r="F762" i="1"/>
  <c r="F760" i="1"/>
  <c r="F759" i="1"/>
  <c r="F758" i="1"/>
  <c r="F757" i="1"/>
  <c r="F756" i="1"/>
  <c r="F755" i="1"/>
  <c r="F752" i="1"/>
  <c r="F751" i="1"/>
  <c r="F750" i="1"/>
  <c r="F749" i="1"/>
  <c r="F748" i="1"/>
  <c r="F747" i="1"/>
  <c r="F745" i="1"/>
  <c r="F741" i="1"/>
  <c r="F740" i="1"/>
  <c r="F738" i="1"/>
  <c r="F731" i="1"/>
  <c r="F730" i="1"/>
  <c r="F729" i="1"/>
  <c r="F728" i="1"/>
  <c r="F727" i="1"/>
  <c r="F725" i="1"/>
  <c r="F723" i="1"/>
  <c r="F722" i="1"/>
  <c r="F721" i="1"/>
  <c r="F720" i="1"/>
  <c r="F719" i="1"/>
  <c r="F718" i="1"/>
  <c r="F716" i="1"/>
  <c r="F715" i="1"/>
  <c r="F712" i="1"/>
  <c r="F709" i="1"/>
  <c r="F706" i="1"/>
  <c r="F704" i="1"/>
  <c r="F702" i="1"/>
  <c r="F701" i="1"/>
  <c r="F698" i="1"/>
  <c r="F697" i="1"/>
  <c r="F695" i="1"/>
  <c r="F693" i="1"/>
  <c r="F690" i="1"/>
  <c r="F689" i="1"/>
  <c r="F687" i="1"/>
  <c r="F686" i="1"/>
  <c r="F684" i="1"/>
  <c r="F682" i="1"/>
  <c r="F678" i="1"/>
  <c r="F677" i="1"/>
  <c r="F673" i="1"/>
  <c r="F670" i="1"/>
  <c r="F669" i="1"/>
  <c r="F661" i="1"/>
  <c r="F660" i="1"/>
  <c r="F658" i="1"/>
  <c r="F657" i="1"/>
  <c r="F656" i="1"/>
  <c r="F655" i="1"/>
  <c r="F653" i="1"/>
  <c r="F650" i="1"/>
  <c r="F649" i="1"/>
  <c r="F646" i="1"/>
  <c r="F645" i="1"/>
  <c r="F643" i="1"/>
  <c r="F642" i="1"/>
  <c r="F640" i="1"/>
  <c r="F638" i="1"/>
  <c r="F636" i="1"/>
  <c r="F634" i="1"/>
  <c r="F633" i="1"/>
  <c r="F631" i="1"/>
  <c r="F630" i="1"/>
  <c r="F629" i="1"/>
  <c r="F628" i="1"/>
  <c r="F627" i="1"/>
  <c r="F626" i="1"/>
  <c r="F625" i="1"/>
  <c r="F624" i="1"/>
  <c r="F623" i="1"/>
  <c r="F622" i="1"/>
  <c r="F621" i="1"/>
  <c r="F619" i="1"/>
  <c r="F615" i="1"/>
  <c r="F612" i="1"/>
  <c r="F610" i="1"/>
  <c r="F607" i="1"/>
  <c r="F604" i="1"/>
  <c r="F602" i="1"/>
  <c r="F599" i="1"/>
  <c r="F598" i="1"/>
  <c r="F596" i="1"/>
  <c r="F595" i="1"/>
  <c r="F594" i="1"/>
  <c r="F592" i="1"/>
  <c r="F589" i="1"/>
  <c r="F587" i="1"/>
  <c r="F585" i="1"/>
  <c r="F582" i="1"/>
  <c r="F581" i="1"/>
  <c r="F580" i="1"/>
  <c r="F579" i="1"/>
  <c r="F578" i="1"/>
  <c r="F576" i="1"/>
  <c r="F574" i="1"/>
  <c r="F572" i="1"/>
  <c r="F570" i="1"/>
  <c r="F569" i="1"/>
  <c r="F567" i="1"/>
  <c r="F566" i="1"/>
  <c r="F563" i="1"/>
  <c r="F562" i="1"/>
  <c r="F561" i="1"/>
  <c r="F560" i="1"/>
  <c r="F557" i="1"/>
  <c r="F555" i="1"/>
  <c r="F553" i="1"/>
  <c r="F552" i="1"/>
  <c r="F547" i="1"/>
  <c r="F546" i="1"/>
  <c r="F545" i="1"/>
  <c r="F544" i="1"/>
  <c r="F542" i="1"/>
  <c r="F537" i="1"/>
  <c r="F536" i="1"/>
  <c r="F535" i="1"/>
  <c r="F534" i="1"/>
  <c r="F533" i="1"/>
  <c r="F530" i="1"/>
  <c r="F525" i="1"/>
  <c r="F524" i="1"/>
  <c r="F523" i="1"/>
  <c r="F521" i="1"/>
  <c r="F520" i="1"/>
  <c r="F516" i="1"/>
  <c r="F514" i="1"/>
  <c r="F510" i="1"/>
  <c r="F508" i="1"/>
  <c r="F506" i="1"/>
  <c r="F505" i="1"/>
  <c r="F504" i="1"/>
  <c r="F502" i="1"/>
  <c r="F501" i="1"/>
  <c r="F499" i="1"/>
  <c r="F497" i="1"/>
  <c r="F496" i="1"/>
  <c r="F495" i="1"/>
  <c r="F494" i="1"/>
  <c r="F492" i="1"/>
  <c r="F491" i="1"/>
  <c r="F489" i="1"/>
  <c r="F488" i="1"/>
  <c r="F487" i="1"/>
  <c r="F484" i="1"/>
  <c r="F483" i="1"/>
  <c r="F481" i="1"/>
  <c r="F480" i="1"/>
  <c r="F478" i="1"/>
  <c r="F477" i="1"/>
  <c r="F474" i="1"/>
  <c r="F473" i="1"/>
  <c r="F472" i="1"/>
  <c r="F467" i="1"/>
  <c r="F466" i="1"/>
  <c r="F465" i="1"/>
  <c r="F456" i="1"/>
  <c r="F455" i="1"/>
  <c r="F454" i="1"/>
  <c r="F452" i="1"/>
  <c r="F450" i="1"/>
  <c r="F448" i="1"/>
  <c r="F446" i="1"/>
  <c r="F445" i="1"/>
  <c r="F444" i="1"/>
  <c r="F443" i="1"/>
  <c r="F441" i="1"/>
  <c r="F439" i="1"/>
  <c r="F438" i="1"/>
  <c r="F437" i="1"/>
  <c r="F434" i="1"/>
  <c r="F432" i="1"/>
  <c r="F428" i="1"/>
  <c r="F427" i="1"/>
  <c r="F426" i="1"/>
  <c r="F424" i="1"/>
  <c r="F422" i="1"/>
  <c r="F421" i="1"/>
  <c r="F420" i="1"/>
  <c r="F417" i="1"/>
  <c r="F416" i="1"/>
  <c r="F414" i="1"/>
  <c r="F413" i="1"/>
  <c r="F411" i="1"/>
  <c r="F409" i="1"/>
  <c r="F408" i="1"/>
  <c r="F406" i="1"/>
  <c r="F404" i="1"/>
  <c r="F403" i="1"/>
  <c r="F397" i="1"/>
  <c r="F395" i="1"/>
  <c r="F392" i="1"/>
  <c r="F390" i="1"/>
  <c r="F388" i="1"/>
  <c r="F387" i="1"/>
  <c r="F386" i="1"/>
  <c r="F384" i="1"/>
  <c r="F382" i="1"/>
  <c r="F380" i="1"/>
  <c r="F379" i="1"/>
  <c r="F378" i="1"/>
  <c r="F375" i="1"/>
  <c r="F373" i="1"/>
  <c r="F370" i="1"/>
  <c r="F369" i="1"/>
  <c r="F367" i="1"/>
  <c r="F365" i="1"/>
  <c r="F363" i="1"/>
  <c r="F361" i="1"/>
  <c r="F360" i="1"/>
  <c r="F359" i="1"/>
  <c r="F357" i="1"/>
  <c r="F355" i="1"/>
  <c r="F352" i="1"/>
  <c r="F350" i="1"/>
  <c r="F348" i="1"/>
  <c r="F347" i="1"/>
  <c r="F345" i="1"/>
  <c r="F342" i="1"/>
  <c r="F340" i="1"/>
  <c r="F339" i="1"/>
  <c r="F336" i="1"/>
  <c r="F334" i="1"/>
  <c r="F332" i="1"/>
  <c r="F330" i="1"/>
  <c r="F328" i="1"/>
  <c r="F327" i="1"/>
  <c r="F326" i="1"/>
  <c r="F324" i="1"/>
  <c r="F322" i="1"/>
  <c r="F320" i="1"/>
  <c r="F318" i="1"/>
  <c r="F317" i="1"/>
  <c r="F316" i="1"/>
  <c r="F315" i="1"/>
  <c r="F314" i="1"/>
  <c r="F308" i="1"/>
  <c r="F307" i="1"/>
  <c r="F305" i="1"/>
  <c r="F304" i="1"/>
  <c r="F302" i="1"/>
  <c r="F300" i="1"/>
  <c r="F297" i="1"/>
  <c r="F296" i="1"/>
  <c r="F294" i="1"/>
  <c r="F293" i="1"/>
  <c r="F292" i="1"/>
  <c r="F291" i="1"/>
  <c r="F288" i="1"/>
  <c r="F287" i="1"/>
  <c r="F285" i="1"/>
  <c r="F284" i="1"/>
  <c r="F282" i="1"/>
  <c r="F281" i="1"/>
  <c r="F276" i="1"/>
  <c r="F275" i="1"/>
  <c r="F273" i="1"/>
  <c r="F272" i="1"/>
  <c r="F271" i="1"/>
  <c r="F268" i="1"/>
  <c r="F266" i="1"/>
  <c r="F265" i="1"/>
  <c r="F263" i="1"/>
  <c r="F261" i="1"/>
  <c r="F258" i="1"/>
  <c r="F256" i="1"/>
  <c r="F254" i="1"/>
  <c r="F252" i="1"/>
  <c r="F246" i="1"/>
  <c r="F244" i="1"/>
  <c r="F243" i="1"/>
  <c r="F241" i="1"/>
  <c r="F238" i="1"/>
  <c r="F237" i="1"/>
  <c r="F236" i="1"/>
  <c r="F235" i="1"/>
  <c r="F234" i="1"/>
  <c r="F233" i="1"/>
  <c r="F232" i="1"/>
  <c r="F231" i="1"/>
  <c r="F229" i="1"/>
  <c r="F227" i="1"/>
  <c r="F226" i="1"/>
  <c r="F224" i="1"/>
  <c r="F223" i="1"/>
  <c r="F221" i="1"/>
  <c r="F219" i="1"/>
  <c r="F215" i="1"/>
  <c r="F211" i="1"/>
  <c r="F210" i="1"/>
  <c r="F209" i="1"/>
  <c r="F207" i="1"/>
  <c r="F203" i="1"/>
  <c r="F202" i="1"/>
  <c r="F201" i="1"/>
  <c r="F200" i="1"/>
  <c r="F199" i="1"/>
  <c r="F198" i="1"/>
  <c r="F197" i="1"/>
  <c r="F196" i="1"/>
  <c r="F195" i="1"/>
  <c r="F194" i="1"/>
  <c r="F192" i="1"/>
  <c r="F191" i="1"/>
  <c r="F190" i="1"/>
  <c r="F188" i="1"/>
  <c r="F186" i="1"/>
  <c r="F185" i="1"/>
  <c r="F183" i="1"/>
  <c r="F182" i="1"/>
  <c r="F180" i="1"/>
  <c r="F178" i="1"/>
  <c r="F175" i="1"/>
  <c r="F173" i="1"/>
  <c r="F171" i="1"/>
  <c r="F169" i="1"/>
  <c r="F167" i="1"/>
  <c r="F161" i="1"/>
  <c r="F159" i="1"/>
  <c r="F155" i="1"/>
  <c r="F153" i="1"/>
  <c r="F150" i="1"/>
  <c r="F147" i="1"/>
  <c r="F146" i="1"/>
  <c r="F145" i="1"/>
  <c r="F144" i="1"/>
  <c r="F142" i="1"/>
  <c r="F141" i="1"/>
  <c r="F139" i="1"/>
  <c r="F137" i="1"/>
  <c r="F136" i="1"/>
  <c r="F134" i="1"/>
  <c r="F133" i="1"/>
  <c r="F127" i="1"/>
  <c r="F125" i="1"/>
  <c r="F124" i="1"/>
  <c r="F122" i="1"/>
  <c r="F121" i="1"/>
  <c r="F119" i="1"/>
  <c r="F113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3" i="1"/>
  <c r="F91" i="1"/>
  <c r="F90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0" i="1"/>
  <c r="F69" i="1"/>
  <c r="F67" i="1"/>
  <c r="F66" i="1"/>
  <c r="F65" i="1"/>
  <c r="F63" i="1"/>
  <c r="F61" i="1"/>
  <c r="F59" i="1"/>
  <c r="F57" i="1"/>
  <c r="F56" i="1"/>
  <c r="F55" i="1"/>
  <c r="F53" i="1"/>
  <c r="F51" i="1"/>
  <c r="F49" i="1"/>
  <c r="F48" i="1"/>
  <c r="F46" i="1"/>
  <c r="F43" i="1"/>
  <c r="F41" i="1"/>
  <c r="F38" i="1"/>
  <c r="F32" i="1"/>
  <c r="F30" i="1"/>
  <c r="F29" i="1"/>
  <c r="F28" i="1"/>
  <c r="F26" i="1"/>
  <c r="F24" i="1"/>
  <c r="F23" i="1"/>
  <c r="F21" i="1"/>
  <c r="F20" i="1"/>
  <c r="F18" i="1"/>
  <c r="F16" i="1"/>
  <c r="F15" i="1"/>
  <c r="F14" i="1"/>
  <c r="F12" i="1"/>
  <c r="F11" i="1"/>
  <c r="F9" i="1"/>
  <c r="F7" i="1"/>
  <c r="F5" i="1"/>
  <c r="F4" i="1"/>
  <c r="F3" i="1"/>
</calcChain>
</file>

<file path=xl/sharedStrings.xml><?xml version="1.0" encoding="utf-8"?>
<sst xmlns="http://schemas.openxmlformats.org/spreadsheetml/2006/main" count="1332" uniqueCount="524">
  <si>
    <t>Program Name</t>
  </si>
  <si>
    <t>Final 2019 Linage</t>
  </si>
  <si>
    <t>OCNA</t>
  </si>
  <si>
    <t>CNA</t>
  </si>
  <si>
    <t>1/4 Page Linage</t>
  </si>
  <si>
    <t># Of Additional Lines per Full Process Colour - 1/4 Page</t>
  </si>
  <si>
    <t>ADDINGTON HIGHLANDS, TOWNSHIP OF</t>
  </si>
  <si>
    <t>Bancroft This Week</t>
  </si>
  <si>
    <t>Frontenac News</t>
  </si>
  <si>
    <t>Napanee Guide</t>
  </si>
  <si>
    <t>ADMASTON/BROMLEY, TOWNSHIP OF</t>
  </si>
  <si>
    <t>Renfrew Mercury</t>
  </si>
  <si>
    <t>ALDERVILLE FIRST NATION</t>
  </si>
  <si>
    <t>Northumberland News</t>
  </si>
  <si>
    <t>ALFRED AND PLANTAGENET, TOWNSHIP OF</t>
  </si>
  <si>
    <t>Hawkesbury le Carillon</t>
  </si>
  <si>
    <t>Vankleek Hill Review</t>
  </si>
  <si>
    <t>ALGONQUIN HIGHLANDS,TOWNSHIP OF</t>
  </si>
  <si>
    <t>Haliburton County Life</t>
  </si>
  <si>
    <t xml:space="preserve">Haliburton Highlander </t>
  </si>
  <si>
    <t>Minden Times</t>
  </si>
  <si>
    <t>ALGONQUINS OF PIKWAKANAGAN</t>
  </si>
  <si>
    <t>Eganville Leader</t>
  </si>
  <si>
    <t>ARMOUR, TOWNSHIP OF</t>
  </si>
  <si>
    <t>Burks Falls Almaguin News</t>
  </si>
  <si>
    <t>Muskoka, Muskokaregion.com</t>
  </si>
  <si>
    <t>ARMSTRONG, TOWNSHIP OF</t>
  </si>
  <si>
    <t>Kirkland Lake Northern News This Week</t>
  </si>
  <si>
    <t>New Liskeard Temiskaming Speaker</t>
  </si>
  <si>
    <t>ARNPRIOR, TOWN OF</t>
  </si>
  <si>
    <t>Arnprior Chronicle Guide</t>
  </si>
  <si>
    <t>ASHFIELD-COLBORNE-WAWANOSH, TOWNSHIP OF</t>
  </si>
  <si>
    <t>Blyth/Brussels Citizen</t>
  </si>
  <si>
    <t>Goderich Signal Star</t>
  </si>
  <si>
    <t>Lucknow Sentinel</t>
  </si>
  <si>
    <t>ASSIGINACK, TOWNSHIP OF</t>
  </si>
  <si>
    <t>Manitoulin Expositor</t>
  </si>
  <si>
    <t>ATHENS, TOWNSHIP OF</t>
  </si>
  <si>
    <t>Brockville Recorder and Times</t>
  </si>
  <si>
    <t>ATIKAMEKSHENG ANISHNAWBEK FIRST NATION</t>
  </si>
  <si>
    <t>The Sudbury Star</t>
  </si>
  <si>
    <t>ATIKOKAN, TOWNSHIP OF</t>
  </si>
  <si>
    <t>Atikokan Progress</t>
  </si>
  <si>
    <t>AUGUSTA, TOWNSHIP OF</t>
  </si>
  <si>
    <t>Prescott Journal</t>
  </si>
  <si>
    <t>AYLMER, TOWN OF</t>
  </si>
  <si>
    <t>Aylmer Express</t>
  </si>
  <si>
    <t>St. Thomas Times-Journal</t>
  </si>
  <si>
    <t>BALDWIN, TOWNSHIP OF</t>
  </si>
  <si>
    <t>Espanola Mid-North Monitor</t>
  </si>
  <si>
    <t>BANCROFT, TOWN OF</t>
  </si>
  <si>
    <t>Bancroft Times</t>
  </si>
  <si>
    <t>BARRIE, CITY OF</t>
  </si>
  <si>
    <t xml:space="preserve">Barrie Advance </t>
  </si>
  <si>
    <t>BATCHEWANA FNS OJIBWAYS</t>
  </si>
  <si>
    <t>Sault Ste. Marie This Week</t>
  </si>
  <si>
    <t>BAYHAM, MUNICIPALITY OF</t>
  </si>
  <si>
    <t>Tillsonburg Independent News</t>
  </si>
  <si>
    <t>Tillsonburg News</t>
  </si>
  <si>
    <t>BEAUSOLIEL FIRST NATIONS</t>
  </si>
  <si>
    <t>Midland Penetanguishene Mirror</t>
  </si>
  <si>
    <t>BECKWITH, TOWNSHIP OF</t>
  </si>
  <si>
    <t>Carleton Place/Almonte Canadian Gazette</t>
  </si>
  <si>
    <t>BILLINGS, TOWNSHIP OF</t>
  </si>
  <si>
    <t>BLACK RIVER-MATHESON, TOWNSHIP OF</t>
  </si>
  <si>
    <t>Iroquois Falls Enterprise</t>
  </si>
  <si>
    <t>Timmins Times</t>
  </si>
  <si>
    <t>BLIND RIVER, TOWN OF</t>
  </si>
  <si>
    <t>Elliot Lake The Standard</t>
  </si>
  <si>
    <t>Sault Ste Marie This Week</t>
  </si>
  <si>
    <t>BLUEWATER RECYCLING ASSOCIATION</t>
  </si>
  <si>
    <t>Clinton News Record</t>
  </si>
  <si>
    <t>Exeter LakeshoreTimes-Advance</t>
  </si>
  <si>
    <t>Lambton-Middlesex Standard</t>
  </si>
  <si>
    <t>Goderich Signal-Star</t>
  </si>
  <si>
    <t>Listowel Banner</t>
  </si>
  <si>
    <t>Listowel Independent Plus</t>
  </si>
  <si>
    <t>London, The Londoner</t>
  </si>
  <si>
    <t xml:space="preserve">Middlesex Banner </t>
  </si>
  <si>
    <t>Mitchell Advocate</t>
  </si>
  <si>
    <t>Sarnia/Lambton County This Week</t>
  </si>
  <si>
    <t>Seaforth Huron Expositor</t>
  </si>
  <si>
    <t>St. Marys Independent</t>
  </si>
  <si>
    <t>Strathroy Middlesex Age Dispatch</t>
  </si>
  <si>
    <t>London Free Press</t>
  </si>
  <si>
    <t>BONFIELD, TOWNSHIP OF</t>
  </si>
  <si>
    <t>North Bay Nugget</t>
  </si>
  <si>
    <t>BONNECHERE VALLEY, TOWNSHIP OF</t>
  </si>
  <si>
    <t>BRANT, COUNTY OF</t>
  </si>
  <si>
    <t>Paris Star</t>
  </si>
  <si>
    <t>Brantford, The Expositor</t>
  </si>
  <si>
    <t>BRANTFORD, CITY OF</t>
  </si>
  <si>
    <t>BROCKVILLE, CITY OF</t>
  </si>
  <si>
    <t>BRUCE AREA SOLID WASTE RECYCLING</t>
  </si>
  <si>
    <t>Bruce Peninsula Press</t>
  </si>
  <si>
    <t>Grey Bruce This Week</t>
  </si>
  <si>
    <t>Hanover, The Post</t>
  </si>
  <si>
    <t>Kincardine Independent</t>
  </si>
  <si>
    <t>Kincardine News</t>
  </si>
  <si>
    <t xml:space="preserve">BRUCE AREA SOLID WASTE RECYCLING </t>
  </si>
  <si>
    <t>Mildmay Town &amp; Country Crier</t>
  </si>
  <si>
    <t>Port Elgin Shoreline Beacon</t>
  </si>
  <si>
    <t>South Bruce Independent Extra</t>
  </si>
  <si>
    <t>Walkerton Herald Times</t>
  </si>
  <si>
    <t>Wiarton Echo</t>
  </si>
  <si>
    <t>BRUDENELL, LYNDOCH AND RAGLAN, TOWNSHIP OF</t>
  </si>
  <si>
    <t>CALLANDER, MUNICIPALITY OF</t>
  </si>
  <si>
    <t>CALVIN, MUNICIPALITY OF</t>
  </si>
  <si>
    <t>CARLETON PLACE, TOWN OF</t>
  </si>
  <si>
    <t>CARLING, TOWNSHIP OF</t>
  </si>
  <si>
    <t>Parry Sound Beacon Star</t>
  </si>
  <si>
    <t>Parry Sound North Star</t>
  </si>
  <si>
    <t>CARLOW MAYO, TOWNSHIP OF</t>
  </si>
  <si>
    <t>CASEY, TOWNSHIP OF</t>
  </si>
  <si>
    <t>CASSELMAN,  VILLAGE OF</t>
  </si>
  <si>
    <t>Ottawa Le Droit</t>
  </si>
  <si>
    <t>CENTRAL ELGIN, MUNICIPALITY OF</t>
  </si>
  <si>
    <t>CENTRAL FRONTENAC, TOWNSHIP OF</t>
  </si>
  <si>
    <t>Perth Courier</t>
  </si>
  <si>
    <t>CENTRAL MANITOULIN, TOWNSHIP OF</t>
  </si>
  <si>
    <t>Manitoulin West Recorder</t>
  </si>
  <si>
    <t>CHARLTON AND DACK, MUNICIPALITY OF</t>
  </si>
  <si>
    <t xml:space="preserve">Kirkland Lake Northern News This Week </t>
  </si>
  <si>
    <t>CHATHAM-KENT, MUNICIPALITY OF</t>
  </si>
  <si>
    <t>Blenheim News-Tribune</t>
  </si>
  <si>
    <t>Chatham-Kent This Week</t>
  </si>
  <si>
    <t>Chatham Voice</t>
  </si>
  <si>
    <t>Ridgetown Independent News</t>
  </si>
  <si>
    <t>Thamesville Herald</t>
  </si>
  <si>
    <t>Tilbury Times</t>
  </si>
  <si>
    <t>Wallaceburg Courier Press</t>
  </si>
  <si>
    <t>Chatham Daily News</t>
  </si>
  <si>
    <t>CHATSWORTH, TOWNSHIP OF</t>
  </si>
  <si>
    <t>Owen Sound, The Sun Times</t>
  </si>
  <si>
    <t>CHIPPEWAS OF GEORGINA ISLAND</t>
  </si>
  <si>
    <t>Georgina Advocate</t>
  </si>
  <si>
    <t>CHIPPEWAS OF KETTLE AND STONY POINT FIRST NATIONS</t>
  </si>
  <si>
    <t>CHIPPEWAS OF NAWASH FIRST NATION</t>
  </si>
  <si>
    <t>CHIPPEWAS OF RAMA FIRST NATION</t>
  </si>
  <si>
    <t>Orillia Today</t>
  </si>
  <si>
    <t>CHIPPEWAS OF THE THAMES FIRST NATION</t>
  </si>
  <si>
    <t>CHISHOLM, TOWNSHIP OF</t>
  </si>
  <si>
    <t>CLARENCE-ROCKLAND, CITY OF</t>
  </si>
  <si>
    <t>COBALT, TOWN OF</t>
  </si>
  <si>
    <t>COCHRANE, TOWNSHIP OF</t>
  </si>
  <si>
    <t>Cochrane Times-Post</t>
  </si>
  <si>
    <t>COLEMAN, TOWN OF</t>
  </si>
  <si>
    <t>CONMEE,  TOWNSHIP OF</t>
  </si>
  <si>
    <t>Thunder Bay's Source</t>
  </si>
  <si>
    <t>CORNWALL, CITY OF</t>
  </si>
  <si>
    <t>Cornwall Seaway News</t>
  </si>
  <si>
    <t>Cornwall Standard Freeholder</t>
  </si>
  <si>
    <t>CURVE LAKE FIRST NATION</t>
  </si>
  <si>
    <t>Peterborough This Week</t>
  </si>
  <si>
    <t>DEEP RIVER, TOWN OF</t>
  </si>
  <si>
    <t>Deep River North Renfrew Times</t>
  </si>
  <si>
    <t>DESERONTO, TOWN OF</t>
  </si>
  <si>
    <t>Napanee Beaver</t>
  </si>
  <si>
    <t>DRUMMOND-NORTH ELMSLEY, TOWNSHIP OF</t>
  </si>
  <si>
    <t>Lanark Era</t>
  </si>
  <si>
    <t>DRYDEN, CITY OF</t>
  </si>
  <si>
    <t>Dryden Observer/Red Lake Northern Sun News</t>
  </si>
  <si>
    <t>DUFFERIN, COUNTY OF</t>
  </si>
  <si>
    <t>Orangeville Banner</t>
  </si>
  <si>
    <t>Orangeville Citizen</t>
  </si>
  <si>
    <t>Shelburne Free Press</t>
  </si>
  <si>
    <t>DURHAM, REGIONAL MUNICIPALITY OF</t>
  </si>
  <si>
    <t>Ajax Pickering News Advertiser</t>
  </si>
  <si>
    <t>Brock Citizen</t>
  </si>
  <si>
    <t>Clarington This Week</t>
  </si>
  <si>
    <t>Orono Weekly Times</t>
  </si>
  <si>
    <t>Oshawa Express</t>
  </si>
  <si>
    <t xml:space="preserve">Oshawa/Whitby This Week </t>
  </si>
  <si>
    <t>Port Perry/Uxbridge, The Standard</t>
  </si>
  <si>
    <t>Port Perry Star</t>
  </si>
  <si>
    <t>Uxbridge Cosmo</t>
  </si>
  <si>
    <t>Uxbridge Times Journal</t>
  </si>
  <si>
    <t>National Post</t>
  </si>
  <si>
    <t>Toronto Star</t>
  </si>
  <si>
    <t>DUTTON-DUNWICH, MUNICIPALITY OF</t>
  </si>
  <si>
    <t>West Lorne West Elgin Chronicle</t>
  </si>
  <si>
    <t>DYSART ET AL, TOWNSHIP OF</t>
  </si>
  <si>
    <t>Haliburton County Echo</t>
  </si>
  <si>
    <t>Haliburton Highlander</t>
  </si>
  <si>
    <t>EAST FERRIS, TOWNSHIP OF</t>
  </si>
  <si>
    <t>EDWARDSBURGH CARDINAL, TOWNSHIP OF</t>
  </si>
  <si>
    <t>ELIZABETHTOWN-KITLEY, TOWNSHIP OF</t>
  </si>
  <si>
    <t>ELLIOT LAKE, CITY OF</t>
  </si>
  <si>
    <t>EMO, TOWNSHIP OF</t>
  </si>
  <si>
    <t>Fort Frances Times</t>
  </si>
  <si>
    <t>ENGLEHART, TOWN OF</t>
  </si>
  <si>
    <t>ENNISKILLEN, TOWNSHIP OF</t>
  </si>
  <si>
    <t>Petrolia Lambton Independent</t>
  </si>
  <si>
    <t>Sarnia/Lambton County This week</t>
  </si>
  <si>
    <t>ESPANOLA, TOWN OF</t>
  </si>
  <si>
    <t>Amherstburg River Town Times</t>
  </si>
  <si>
    <t>ESSEX-WINDSOR SOLID WASTE AUTHORITY</t>
  </si>
  <si>
    <t>Belle River Lakeshore News</t>
  </si>
  <si>
    <t xml:space="preserve">Essex Free Press </t>
  </si>
  <si>
    <t>Harrow News</t>
  </si>
  <si>
    <t>Kingsville Reporter</t>
  </si>
  <si>
    <t>Lasalle Post</t>
  </si>
  <si>
    <t>Leamington/Wheatley/Kingsville Southpoint Sun</t>
  </si>
  <si>
    <t>Tecumseh Shoreline Week</t>
  </si>
  <si>
    <t>Windsor Star</t>
  </si>
  <si>
    <t>EVANTUREL, TOWNSHIP OF</t>
  </si>
  <si>
    <t>FARADAY, TOWNSHIP OF</t>
  </si>
  <si>
    <t>FORT FRANCES, TOWN OF</t>
  </si>
  <si>
    <t>FRENCH RIVER, MUNICIPALITY OF</t>
  </si>
  <si>
    <t>FRONT OF YONGE, TOWNSHIP OF</t>
  </si>
  <si>
    <t>FRONTENAC ISLANDS, TOWNSHIP OF</t>
  </si>
  <si>
    <t>Kingston/Frontenac This Week</t>
  </si>
  <si>
    <t>GANANOQUE, TOWN OF</t>
  </si>
  <si>
    <t>Gananoque Reporter</t>
  </si>
  <si>
    <t>GAUTHIER, TOWNSHIP OF</t>
  </si>
  <si>
    <t>Kirkalnd Lake Northern News This Week</t>
  </si>
  <si>
    <t>GEORGIAN BLUFFS, TOWNSHIP OF</t>
  </si>
  <si>
    <t>GILLIES, TOWNSHIP OF</t>
  </si>
  <si>
    <t>GREATER MADAWASKA, TOWNSHIP OF</t>
  </si>
  <si>
    <t>GREATER NAPANEE, TOWNSHIP OF</t>
  </si>
  <si>
    <t>GREATER SUDBURY, CITY OF</t>
  </si>
  <si>
    <t>Sudbury Northern Life</t>
  </si>
  <si>
    <t>GREY HIGHLANDS, MUNICIPALITY OF</t>
  </si>
  <si>
    <t>Collingwood Connection</t>
  </si>
  <si>
    <t>Flesherton Advance</t>
  </si>
  <si>
    <t>GUELPH, CITY OF</t>
  </si>
  <si>
    <t>Fergus Wellington Advertiser</t>
  </si>
  <si>
    <t>Guelph Mercury Tribune</t>
  </si>
  <si>
    <t>Waterloo Region Record</t>
  </si>
  <si>
    <t>HALDIMAND, COUNTY OF</t>
  </si>
  <si>
    <t>Haldimand County, The Sachem</t>
  </si>
  <si>
    <t>Haldimand County, Haldimand Press</t>
  </si>
  <si>
    <t>HALTON, REGIONAL MUNICIPALITY OF</t>
  </si>
  <si>
    <t>Burlington Post</t>
  </si>
  <si>
    <t>Georgetown/Acton Ind. Free Press</t>
  </si>
  <si>
    <t>Hamilton/Burlington Bay Observer</t>
  </si>
  <si>
    <t>Milton Canadian Champion</t>
  </si>
  <si>
    <t>Oakville Beaver</t>
  </si>
  <si>
    <t>Globe &amp; Mail (Ont)</t>
  </si>
  <si>
    <t>HAMILTON, CITY OF</t>
  </si>
  <si>
    <t>Ancaster News</t>
  </si>
  <si>
    <t>Dundas Star News</t>
  </si>
  <si>
    <t>Glanbrook Gazette</t>
  </si>
  <si>
    <t>Hamilton Mountain News</t>
  </si>
  <si>
    <t>Stoney Creek News</t>
  </si>
  <si>
    <t>Waterdown Flamborough Review</t>
  </si>
  <si>
    <t>Hamilton Spectator</t>
  </si>
  <si>
    <t>HANOVER, TOWN OF</t>
  </si>
  <si>
    <t>HARLEY, TOWNSHIP OF</t>
  </si>
  <si>
    <t xml:space="preserve">New Liskeard Temiskaming Speaker </t>
  </si>
  <si>
    <t>HASTINGS HIGHLANDS, MUNICIPALITY OF</t>
  </si>
  <si>
    <t>HAWKESBURY JOINT RECYCLING</t>
  </si>
  <si>
    <t>Hawkesbury  - Le Carillon</t>
  </si>
  <si>
    <t>HEAD, CLARA AND MARIA, TOWNSHIPS OF</t>
  </si>
  <si>
    <t>HEARST, TOWN OF</t>
  </si>
  <si>
    <t>HIGHLANDS EAST, MUNICIPALITY OF</t>
  </si>
  <si>
    <t>HILLIARD,  TOWNSHIP OF</t>
  </si>
  <si>
    <t>HILTON BEACH, VILLAGE OF</t>
  </si>
  <si>
    <t>Thessalon North Shore Sentinel</t>
  </si>
  <si>
    <t>HORTON, TOWNSHIP OF</t>
  </si>
  <si>
    <t>HOWICK, TOWNSHIP OF</t>
  </si>
  <si>
    <t xml:space="preserve">Wingham Advance Times </t>
  </si>
  <si>
    <t>HUDSON, TOWNSHIP OF</t>
  </si>
  <si>
    <t>HURON SHORES,  MUNICIPALITY OF</t>
  </si>
  <si>
    <t>JAMES, TOWNSHIP OF</t>
  </si>
  <si>
    <t>KAWARTHA LAKES, CITY OF</t>
  </si>
  <si>
    <t>Kawartha Lakes This Week</t>
  </si>
  <si>
    <t>Peterborough Examiner</t>
  </si>
  <si>
    <t>KEARNEY, TOWN OF</t>
  </si>
  <si>
    <t>KENORA, CITY OF</t>
  </si>
  <si>
    <t>Kenora, Lake of the Woods Enterprise</t>
  </si>
  <si>
    <t>Kenora Daily Miner and News</t>
  </si>
  <si>
    <t>KERNS, TOWNSHIP OF</t>
  </si>
  <si>
    <t>KILLALOE, HAGARTY, AND RICHARDS, TOWNSHIP OF</t>
  </si>
  <si>
    <t>Barrys Bay, The Valley Gazette</t>
  </si>
  <si>
    <t>KILLARNEY, MUNICIPALITY OF</t>
  </si>
  <si>
    <t>KINGSTON, CITY OF</t>
  </si>
  <si>
    <t>Kingston Whig-Standard</t>
  </si>
  <si>
    <t>KIRKLAND LAKE, TOWN OF</t>
  </si>
  <si>
    <t>LAIRD, TOWNSHIP OF</t>
  </si>
  <si>
    <t>LANARK HIGHLANDS, TOWNSHIP OF</t>
  </si>
  <si>
    <t>LARDER LAKE, TOWNSHIP OF</t>
  </si>
  <si>
    <t>LATCHFORD, TOWN OF</t>
  </si>
  <si>
    <t>LAURENTIAN HILLS, TOWN OF</t>
  </si>
  <si>
    <t>LEEDS AND THE THOUSAND ISLANDS, TOWNSHIP OF</t>
  </si>
  <si>
    <t>LIMERICK, TOWNSHIP OF</t>
  </si>
  <si>
    <t>LONDON, CITY OF</t>
  </si>
  <si>
    <t>LOYALIST, TOWNSHIP OF</t>
  </si>
  <si>
    <t>MACDONALD, MEREDITH &amp; ABERDEEN ADDITIONAL, TOWNSHIP OF</t>
  </si>
  <si>
    <t>MACHAR, TOWNSHIP OF</t>
  </si>
  <si>
    <t>MADAWASKA VALLEY, TOWNSHIP OF</t>
  </si>
  <si>
    <t>Barry's Bay, The Valley Gazette</t>
  </si>
  <si>
    <t>MAGNETAWAN, MUNICIPALITY OF</t>
  </si>
  <si>
    <t>MALAHIDE, TOWNSHIP OF</t>
  </si>
  <si>
    <t>MARATHON,  TOWN OF</t>
  </si>
  <si>
    <t>Marathon Mercury</t>
  </si>
  <si>
    <t>MATACHEWAN, TOWNSHIP OF</t>
  </si>
  <si>
    <t>MATTAWA, TOWN OF</t>
  </si>
  <si>
    <t>MATTICE-VAL CÔTÉ,  TOWNSHIP OF</t>
  </si>
  <si>
    <t>MCDOUGALL, TOWNSHIP OF</t>
  </si>
  <si>
    <t>McGARRY, TOWNSHIP</t>
  </si>
  <si>
    <t>MCKELLAR, TOWNSHIP OF</t>
  </si>
  <si>
    <t>MCMURRICH/MONTEITH, TOWNSHIP OF</t>
  </si>
  <si>
    <t>MCNAB-BRAESIDE, TOWNSHIP OF</t>
  </si>
  <si>
    <t xml:space="preserve">Renfrew Mercury </t>
  </si>
  <si>
    <t>MEAFORD, MUNICIPALITY OF</t>
  </si>
  <si>
    <t>Meaford Independent</t>
  </si>
  <si>
    <t>MERRICKVILLE-WOLFORD, VILLAGE OF</t>
  </si>
  <si>
    <t>Kemptville Advance</t>
  </si>
  <si>
    <t>Kemptville, North Grenville Times</t>
  </si>
  <si>
    <t>Smiths Falls Record News</t>
  </si>
  <si>
    <t>MINAKI RECYCLING CORPORATION</t>
  </si>
  <si>
    <t>MINDEN HILLS, TOWNSHIP OF</t>
  </si>
  <si>
    <t>Toronto Sun</t>
  </si>
  <si>
    <t>MISSISSAUGAS OF THE NEW CREDIT FIRST NATION</t>
  </si>
  <si>
    <t>MISSISSIPPI MILLS, TOWN OF</t>
  </si>
  <si>
    <t>Ottawa Citizen</t>
  </si>
  <si>
    <t>MOHAWKS OF THE BAY OF QUINTE</t>
  </si>
  <si>
    <t>Belleville &amp; Region, The Community Press</t>
  </si>
  <si>
    <t>MONTAGUE, TOWNSHIP OF</t>
  </si>
  <si>
    <t>MUSKOKA, DISTRICT MUNICIPALITY OF</t>
  </si>
  <si>
    <t>Bracebridge Examiner</t>
  </si>
  <si>
    <t>Gravenhurst Banner</t>
  </si>
  <si>
    <t>Huntsville Forester</t>
  </si>
  <si>
    <t>NAIRN &amp; HYMAN, TOWNSHIP OF</t>
  </si>
  <si>
    <t xml:space="preserve">Sudbury Northern Life </t>
  </si>
  <si>
    <t>NEEBING, MUNICIPALITY OF</t>
  </si>
  <si>
    <t>NEWBURY, VILLAGE OF</t>
  </si>
  <si>
    <t>NIAGARA, REGIONAL MUNICIPALITY OF</t>
  </si>
  <si>
    <t>Grimsby/Lincoln/West Lincoln News Now</t>
  </si>
  <si>
    <t>Niagara This Week</t>
  </si>
  <si>
    <t>Pelham Voice of Pelham</t>
  </si>
  <si>
    <t>Niagara Falls Review</t>
  </si>
  <si>
    <t>St. Catharines, The Standard</t>
  </si>
  <si>
    <t>Welland, The Tribune</t>
  </si>
  <si>
    <t>NIPISSING, TOWNSHIP OF</t>
  </si>
  <si>
    <t>NIPPISSING FIRST NATION</t>
  </si>
  <si>
    <t>NORFOLK, COUNTY OF</t>
  </si>
  <si>
    <t>Delhi News Record</t>
  </si>
  <si>
    <t>Port Dover Maple Leaf</t>
  </si>
  <si>
    <t>Simcoe Times-Reformer</t>
  </si>
  <si>
    <t xml:space="preserve">Simcoe Reformer </t>
  </si>
  <si>
    <t>NORTH BAY, CITY OF</t>
  </si>
  <si>
    <t>NORTH DUNDAS, TOWNSHIP OF</t>
  </si>
  <si>
    <t>Chesterville Record</t>
  </si>
  <si>
    <t>Winchester Press</t>
  </si>
  <si>
    <t>NORTH FRONTENAC, TOWNSHIP OF</t>
  </si>
  <si>
    <t>NORTH GLENGARRY, TOWNSHIP OF</t>
  </si>
  <si>
    <t>Alexandria Glengarry News</t>
  </si>
  <si>
    <t>NORTH GRENVILLE, MUNICIPALITY OF</t>
  </si>
  <si>
    <t>NORTH HURON, TOWNSHIP OF</t>
  </si>
  <si>
    <t>Wingham Advance Times</t>
  </si>
  <si>
    <t>NORTH STORMONT, TOWNSHIP OF</t>
  </si>
  <si>
    <t>NORTHEAST RECYCLING ASSOCIATION</t>
  </si>
  <si>
    <t>Iroquois Falls Enterprse</t>
  </si>
  <si>
    <t>NORTHEASTERN MANITOULIN &amp; ISLANDS, TOWN OF</t>
  </si>
  <si>
    <t>NORTHERN BRUCE PENINSULA, MUNICIPALITY OF</t>
  </si>
  <si>
    <t>NORTHUMBERLAND, COUNTY OF</t>
  </si>
  <si>
    <t>Brighton Independent</t>
  </si>
  <si>
    <t>OCONNOR,  TOWNSHIP OF</t>
  </si>
  <si>
    <t>OLIVER PAIPOONGE,  MUNICIPALITY OF</t>
  </si>
  <si>
    <t>ONEIDA NATION OF THE THAMES</t>
  </si>
  <si>
    <t>ORILLIA, CITY OF</t>
  </si>
  <si>
    <t>OTTAWA VALLEY WASTE RECOVERY CENTRE</t>
  </si>
  <si>
    <t>Pembroke Observer - OnLine</t>
  </si>
  <si>
    <t>OTTAWA, CITY OF</t>
  </si>
  <si>
    <t>Barrhaven Independent</t>
  </si>
  <si>
    <t>Manotick Messenger</t>
  </si>
  <si>
    <t>Orleans Star</t>
  </si>
  <si>
    <t>Ottawa Hill Times</t>
  </si>
  <si>
    <t>Ottawa Community Voice - Kanata/Stittsville</t>
  </si>
  <si>
    <t>Ottawa Community Voice - South</t>
  </si>
  <si>
    <t>Ottawa Sun</t>
  </si>
  <si>
    <t>OWEN SOUND, CITY OF</t>
  </si>
  <si>
    <t>OXFORD,  RESTRUCTURED COUNTY OF</t>
  </si>
  <si>
    <t>Ayr News</t>
  </si>
  <si>
    <t>New Hamburg Independent</t>
  </si>
  <si>
    <t>Tavistock Gazette</t>
  </si>
  <si>
    <t>Woodstock, The  Sentinel Review</t>
  </si>
  <si>
    <t>PAPINEAU-CAMERON, TOWNSHIP OF</t>
  </si>
  <si>
    <t>PARRY SOUND, TOWN OF</t>
  </si>
  <si>
    <t>PEEL, REGIONAL MUNICIPALITY OF</t>
  </si>
  <si>
    <t xml:space="preserve">Brampton Guardian </t>
  </si>
  <si>
    <t>Caledon Citizen</t>
  </si>
  <si>
    <t>Caledon Enterprise</t>
  </si>
  <si>
    <t>Mississauga News</t>
  </si>
  <si>
    <t>PERRY, TOWNSHIP OF</t>
  </si>
  <si>
    <t>Muskoka, Muskoregion.com</t>
  </si>
  <si>
    <t>PERTH, TOWN OF</t>
  </si>
  <si>
    <t>PETERBOROUGH, CITY OF</t>
  </si>
  <si>
    <t>PETERBOROUGH, COUNTY OF</t>
  </si>
  <si>
    <t>Lakefield Herald</t>
  </si>
  <si>
    <t>Millbrook Times</t>
  </si>
  <si>
    <t>PETROLIA, TOWN OF</t>
  </si>
  <si>
    <t>PLYMPTON-WYOMING, TOWN OF</t>
  </si>
  <si>
    <t>Petrolia Lamton Independent</t>
  </si>
  <si>
    <t>POWASSAN, MUNICIPALITY OF</t>
  </si>
  <si>
    <t>PRESCOTT,TOWN OF</t>
  </si>
  <si>
    <t>PRINCE, TOWNSHIP OF</t>
  </si>
  <si>
    <t>QUINTE WASTE SOLUTIONS</t>
  </si>
  <si>
    <t>Picton County Weekly News</t>
  </si>
  <si>
    <t>Picton Gazette</t>
  </si>
  <si>
    <t>Trenton Trentonian</t>
  </si>
  <si>
    <t>Tweed News</t>
  </si>
  <si>
    <t xml:space="preserve">Belleville Intelligencer </t>
  </si>
  <si>
    <t>RAINY RIVER FIRST NATIONS</t>
  </si>
  <si>
    <t>RAINY RIVER, TOWN OF</t>
  </si>
  <si>
    <t>RED LAKE, MUNICIPALITY OF</t>
  </si>
  <si>
    <t>RENFREW, TOWN OF</t>
  </si>
  <si>
    <t>RIDEAU LAKES, TOWNSHIP OF</t>
  </si>
  <si>
    <t>Westport Review-Mirror</t>
  </si>
  <si>
    <t>RUSSELL, TOWNSHIP OF</t>
  </si>
  <si>
    <t>SABLES-SPANISH RIVERS, TOWNSHIP OF</t>
  </si>
  <si>
    <t>SAGAMOK ANISHNAWBEK FIRST NATION</t>
  </si>
  <si>
    <t>SARNIA, CITY OF</t>
  </si>
  <si>
    <t>Sarnia Journal</t>
  </si>
  <si>
    <t>Sarnia, The Observer</t>
  </si>
  <si>
    <t>SAULT NORTH WASTE MANAGEMENT COUNCIL</t>
  </si>
  <si>
    <t>SAULT STE. MARIE, CITY OF</t>
  </si>
  <si>
    <t>The Sault (Ste. Marie) Star</t>
  </si>
  <si>
    <t>SEGUIN, TOWNSHIP OF</t>
  </si>
  <si>
    <t>SERPENT RIVER FIRST NATION</t>
  </si>
  <si>
    <t>SHUNIAH, MUNICIPALITY OF</t>
  </si>
  <si>
    <t xml:space="preserve">SIMCOE, COUNTY OF </t>
  </si>
  <si>
    <t>Alliston Herald</t>
  </si>
  <si>
    <t>SIMCOE, COUNTY OF</t>
  </si>
  <si>
    <t>Barrie Advance</t>
  </si>
  <si>
    <t>Beeton, New Tecumseth Times</t>
  </si>
  <si>
    <t>Bradford West Gwillimbury Topic</t>
  </si>
  <si>
    <t>Creemore Echo</t>
  </si>
  <si>
    <t>Elmvale Springwater News</t>
  </si>
  <si>
    <t>Innisfil Journal</t>
  </si>
  <si>
    <t>Wasaga/Stayner Sun</t>
  </si>
  <si>
    <t>SIOUX LOOKOUT, THE CORPORATION OF THE MUNICIPALITY OF</t>
  </si>
  <si>
    <t>Sioux Lookout Bulletin</t>
  </si>
  <si>
    <t>Sioux Lookout Wawatay News</t>
  </si>
  <si>
    <t>SIOUX NARROWS NESTOR FALLS, TOWNSHIP OF</t>
  </si>
  <si>
    <t>SIX NATIONS</t>
  </si>
  <si>
    <t>Ohsweken Turtle Island News</t>
  </si>
  <si>
    <t>SMITHS FALLS, TOWN OF</t>
  </si>
  <si>
    <t>SOUTH DUNDAS, TOWNSHIP OF</t>
  </si>
  <si>
    <t>Morrisburg Leader</t>
  </si>
  <si>
    <t>SOUTH FRONTENAC, TOWNSHIP OF</t>
  </si>
  <si>
    <t>SOUTH GLENGARRY, TOWNSHIP OF</t>
  </si>
  <si>
    <t>SOUTH STORMONT, TOWNSHIP OF</t>
  </si>
  <si>
    <t>SOUTHGATE, TOWNSHIP OF</t>
  </si>
  <si>
    <t>Dundalk Herald</t>
  </si>
  <si>
    <t>SOUTHWEST MIDDLESEX, MUNICIPALITY OF</t>
  </si>
  <si>
    <t>SOUTHWOLD, TOWNSHIP OF</t>
  </si>
  <si>
    <t>SPANISH, TOWN OF</t>
  </si>
  <si>
    <t>ST. CHARLES, MUNICIPALITY OF</t>
  </si>
  <si>
    <t>ST. CLAIR, TOWNSHIP OF</t>
  </si>
  <si>
    <t>ST. JOSEPH, TOWNSHIP OF</t>
  </si>
  <si>
    <t>ST. THOMAS, CITY OF</t>
  </si>
  <si>
    <t>STONE MILLS, TOWNSHIP OF</t>
  </si>
  <si>
    <t>STRATFORD, CITY OF</t>
  </si>
  <si>
    <t>Stratford, The Beacon Herald</t>
  </si>
  <si>
    <t>STRONG, TOWNSHIP OF</t>
  </si>
  <si>
    <t>SUNDRIDGE, VILLAGE OF</t>
  </si>
  <si>
    <t>TARBUTT &amp; TARBUTT ADDITIONAL, TOWNSHIP OF</t>
  </si>
  <si>
    <t>TAY VALLEY, TOWNSHIP OF</t>
  </si>
  <si>
    <t>TEMISKAMING SHORES, CITY OF</t>
  </si>
  <si>
    <t>TERRACE BAY, TOWNSHIP OF</t>
  </si>
  <si>
    <t>Terrace Bay-Schreiber News</t>
  </si>
  <si>
    <t>THAMES CENTRE, MUNICIPALITY OF</t>
  </si>
  <si>
    <t>Dorchester Signpost</t>
  </si>
  <si>
    <t>THE ARCHIPELAGO, TOWNSHIP OF</t>
  </si>
  <si>
    <t>THE BLUE MOUNTAINS, TOWN OF</t>
  </si>
  <si>
    <t>THE NATION, MUNICIPALITY</t>
  </si>
  <si>
    <t>THUNDER BAY, CITY OF</t>
  </si>
  <si>
    <t>Thunder Bay Source</t>
  </si>
  <si>
    <t>Thunder Bay, The Chronicle Journal</t>
  </si>
  <si>
    <t>TIMMINS, CITY OF</t>
  </si>
  <si>
    <t>Timmins, The Daily Press</t>
  </si>
  <si>
    <t>TORONTO, CITY OF</t>
  </si>
  <si>
    <t>East York-Beach Neighbourhood Voice</t>
  </si>
  <si>
    <t>Etobicoke Guardian</t>
  </si>
  <si>
    <t>Post City Magazines</t>
  </si>
  <si>
    <t>Scarborough Mirror</t>
  </si>
  <si>
    <t>Toronto Bloor West-Parkdale Neighbourhood Voice</t>
  </si>
  <si>
    <t>Toronto City Centre-York Neighbourhood Voice</t>
  </si>
  <si>
    <t>Toronto Correio da Manha - Portuguese</t>
  </si>
  <si>
    <t>Toronto Correo Canadiense - Spanish</t>
  </si>
  <si>
    <t>Toronto Kanadai-Amerikai Magyarsag - Hungarian</t>
  </si>
  <si>
    <t>Toronto Now</t>
  </si>
  <si>
    <t>Toronto Russian Express</t>
  </si>
  <si>
    <t>Toronto Salam Toronto</t>
  </si>
  <si>
    <t>Toronto Sunday Times</t>
  </si>
  <si>
    <t>Toronto Thoi Bao</t>
  </si>
  <si>
    <t>Toronto Weekly Punjabi Awaaz</t>
  </si>
  <si>
    <t>Toronto Weekly Voice</t>
  </si>
  <si>
    <t>Toronto Zwiakowiec</t>
  </si>
  <si>
    <t>Sing Tao</t>
  </si>
  <si>
    <t>TRI-NEIGHBOURS</t>
  </si>
  <si>
    <t>TUDOR &amp; CASHEL, TOWNSHIP OF</t>
  </si>
  <si>
    <t>WAHNAPITAE FIRST NATION</t>
  </si>
  <si>
    <t>WALPOLE ISLAND FIRST NATION</t>
  </si>
  <si>
    <t>WATERLOO, REGIONAL MUNICIPALITY OF</t>
  </si>
  <si>
    <t>Cambridge Times</t>
  </si>
  <si>
    <t>Elmira Woolwich Observer</t>
  </si>
  <si>
    <t>Kitchener Post</t>
  </si>
  <si>
    <t>Waterloo Chronicle</t>
  </si>
  <si>
    <t>WELLINGTON, COUNTY OF</t>
  </si>
  <si>
    <t>Drayton Community News</t>
  </si>
  <si>
    <t>Erin Advocate</t>
  </si>
  <si>
    <t>Mount Forest BizBull</t>
  </si>
  <si>
    <t>WEST ELGIN, MUNICIPALITY OF</t>
  </si>
  <si>
    <t>WEST GREY, MUNICIPALITY OF</t>
  </si>
  <si>
    <t>WEST NIPISSING, MUNICIPALITY OF</t>
  </si>
  <si>
    <t>Sturgeon Falls, West Nipissing Tribune</t>
  </si>
  <si>
    <t>WHITESTONE, MUNICIPALITY OF</t>
  </si>
  <si>
    <t>WHITEWATER REGION, TOWNSHIP OF</t>
  </si>
  <si>
    <t>WIKWEMIKONG UNCEDED INDIAN RESERVE</t>
  </si>
  <si>
    <t>WOLLASTON, TOWNSHIP OF</t>
  </si>
  <si>
    <t>YORK, REGIONAL MUNICIPALITY OF</t>
  </si>
  <si>
    <t>Aurora, The Auroran</t>
  </si>
  <si>
    <t>King Connection</t>
  </si>
  <si>
    <t>King Weekly Sentinel</t>
  </si>
  <si>
    <t>Markham Economist &amp; Sun</t>
  </si>
  <si>
    <t>Newmarket Era/Aurora Banner/E. Gwillimbury Express</t>
  </si>
  <si>
    <t>Richmond Hill/Thornhill Liberal</t>
  </si>
  <si>
    <t>Stouffville Sun-Tribune</t>
  </si>
  <si>
    <t>Vaughan Citizen</t>
  </si>
  <si>
    <t>NIPISSING FIRST 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</si>
</sst>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1" fontId="3" fillId="0" borderId="0" xfId="0" applyNumberFormat="1" applyFont="1"/>
    <xf numFmtId="0" fontId="5" fillId="3" borderId="2" xfId="0" applyFont="1" applyFill="1" applyBorder="1"/>
    <xf numFmtId="0" fontId="5" fillId="3" borderId="3" xfId="0" applyFont="1" applyFill="1" applyBorder="1"/>
    <xf numFmtId="0" fontId="5" fillId="3" borderId="3" xfId="0" applyFon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 wrapText="1" shrinkToFit="1"/>
    </xf>
    <xf numFmtId="0" fontId="6" fillId="4" borderId="5" xfId="0" applyFont="1" applyFill="1" applyBorder="1" applyAlignment="1">
      <alignment horizontal="center" vertical="center" wrapText="1"/>
    </xf>
    <xf numFmtId="3" fontId="6" fillId="4" borderId="5" xfId="7" applyNumberFormat="1" applyFont="1" applyFill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center" vertical="center" wrapText="1"/>
    </xf>
    <xf numFmtId="0" fontId="7" fillId="0" borderId="6" xfId="0" applyFont="1" applyBorder="1"/>
    <xf numFmtId="0" fontId="7" fillId="0" borderId="1" xfId="0" applyFont="1" applyBorder="1"/>
    <xf numFmtId="3" fontId="8" fillId="5" borderId="1" xfId="7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6" fillId="4" borderId="7" xfId="5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0" fontId="7" fillId="0" borderId="10" xfId="0" applyFont="1" applyBorder="1"/>
    <xf numFmtId="0" fontId="7" fillId="0" borderId="11" xfId="0" applyFont="1" applyBorder="1"/>
    <xf numFmtId="3" fontId="8" fillId="5" borderId="11" xfId="7" applyNumberFormat="1" applyFont="1" applyFill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</cellXfs>
  <cellStyles count="8">
    <cellStyle name="Accent4 2" xfId="2" xr:uid="{00000000-0005-0000-0000-000000000000}"/>
    <cellStyle name="Accent4 3" xfId="3" xr:uid="{00000000-0005-0000-0000-000001000000}"/>
    <cellStyle name="Comma" xfId="7" builtinId="3"/>
    <cellStyle name="Comma 2" xfId="4" xr:uid="{00000000-0005-0000-0000-000002000000}"/>
    <cellStyle name="Currency 2" xfId="5" xr:uid="{00000000-0005-0000-0000-000004000000}"/>
    <cellStyle name="Currency 2 2" xfId="1" xr:uid="{00000000-0005-0000-0000-000005000000}"/>
    <cellStyle name="Currency 3" xfId="6" xr:uid="{00000000-0005-0000-0000-000006000000}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rgb="FFD8D8D8"/>
        </patternFill>
      </fill>
    </dxf>
    <dxf>
      <fill>
        <patternFill>
          <bgColor theme="0" tint="-0.14996795556505021"/>
        </patternFill>
      </fill>
    </dxf>
    <dxf>
      <fill>
        <patternFill>
          <bgColor rgb="FFD8D8D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61"/>
  <sheetViews>
    <sheetView tabSelected="1" zoomScaleNormal="100" workbookViewId="0">
      <pane xSplit="1" ySplit="1" topLeftCell="B5" activePane="bottomRight" state="frozen"/>
      <selection activeCell="C1" sqref="C1"/>
      <selection pane="topRight" activeCell="D1" sqref="D1"/>
      <selection pane="bottomLeft" activeCell="C2" sqref="C2"/>
      <selection pane="bottomRight" activeCell="A38" sqref="A38"/>
    </sheetView>
  </sheetViews>
  <sheetFormatPr defaultRowHeight="11.25" x14ac:dyDescent="0.2"/>
  <cols>
    <col min="1" max="1" width="57" style="1" customWidth="1"/>
    <col min="2" max="3" width="35.7109375" style="1" customWidth="1"/>
    <col min="4" max="4" width="12" style="1" customWidth="1"/>
    <col min="5" max="6" width="12" style="2" customWidth="1"/>
    <col min="7" max="16384" width="9.140625" style="1"/>
  </cols>
  <sheetData>
    <row r="1" spans="1:6" ht="81" customHeight="1" thickBot="1" x14ac:dyDescent="0.25">
      <c r="A1" s="6" t="s">
        <v>0</v>
      </c>
      <c r="B1" s="7" t="s">
        <v>2</v>
      </c>
      <c r="C1" s="7" t="s">
        <v>3</v>
      </c>
      <c r="D1" s="8" t="s">
        <v>1</v>
      </c>
      <c r="E1" s="9" t="s">
        <v>4</v>
      </c>
      <c r="F1" s="14" t="s">
        <v>5</v>
      </c>
    </row>
    <row r="2" spans="1:6" ht="18.75" customHeight="1" x14ac:dyDescent="0.2">
      <c r="A2" s="3" t="s">
        <v>6</v>
      </c>
      <c r="B2" s="4"/>
      <c r="C2" s="4"/>
      <c r="D2" s="5"/>
      <c r="E2" s="5"/>
      <c r="F2" s="15"/>
    </row>
    <row r="3" spans="1:6" ht="15" customHeight="1" x14ac:dyDescent="0.2">
      <c r="A3" s="10" t="s">
        <v>6</v>
      </c>
      <c r="B3" s="11" t="s">
        <v>7</v>
      </c>
      <c r="C3" s="11"/>
      <c r="D3" s="12">
        <v>1275</v>
      </c>
      <c r="E3" s="13">
        <v>425.25</v>
      </c>
      <c r="F3" s="16">
        <f>200/0.7</f>
        <v>285.71428571428572</v>
      </c>
    </row>
    <row r="4" spans="1:6" ht="15" customHeight="1" x14ac:dyDescent="0.2">
      <c r="A4" s="10" t="s">
        <v>6</v>
      </c>
      <c r="B4" s="11" t="s">
        <v>8</v>
      </c>
      <c r="C4" s="11"/>
      <c r="D4" s="12">
        <v>4010</v>
      </c>
      <c r="E4" s="13">
        <v>307.5</v>
      </c>
      <c r="F4" s="16">
        <f>220/0.95</f>
        <v>231.57894736842107</v>
      </c>
    </row>
    <row r="5" spans="1:6" ht="15" customHeight="1" thickBot="1" x14ac:dyDescent="0.25">
      <c r="A5" s="10" t="s">
        <v>6</v>
      </c>
      <c r="B5" s="11" t="s">
        <v>9</v>
      </c>
      <c r="C5" s="11"/>
      <c r="D5" s="12">
        <v>3200</v>
      </c>
      <c r="E5" s="13">
        <v>400</v>
      </c>
      <c r="F5" s="16">
        <f>365/0.66</f>
        <v>553.030303030303</v>
      </c>
    </row>
    <row r="6" spans="1:6" ht="15" customHeight="1" x14ac:dyDescent="0.2">
      <c r="A6" s="3" t="s">
        <v>10</v>
      </c>
      <c r="B6" s="4"/>
      <c r="C6" s="4"/>
      <c r="D6" s="5"/>
      <c r="E6" s="5"/>
      <c r="F6" s="15"/>
    </row>
    <row r="7" spans="1:6" ht="15" customHeight="1" thickBot="1" x14ac:dyDescent="0.25">
      <c r="A7" s="10" t="s">
        <v>10</v>
      </c>
      <c r="B7" s="11" t="s">
        <v>11</v>
      </c>
      <c r="C7" s="11"/>
      <c r="D7" s="12">
        <v>2540</v>
      </c>
      <c r="E7" s="13">
        <v>400</v>
      </c>
      <c r="F7" s="16">
        <f>985/0.8</f>
        <v>1231.25</v>
      </c>
    </row>
    <row r="8" spans="1:6" ht="15" customHeight="1" x14ac:dyDescent="0.2">
      <c r="A8" s="3" t="s">
        <v>12</v>
      </c>
      <c r="B8" s="4"/>
      <c r="C8" s="4"/>
      <c r="D8" s="5"/>
      <c r="E8" s="5"/>
      <c r="F8" s="15"/>
    </row>
    <row r="9" spans="1:6" ht="15" customHeight="1" thickBot="1" x14ac:dyDescent="0.25">
      <c r="A9" s="10" t="s">
        <v>12</v>
      </c>
      <c r="B9" s="11" t="s">
        <v>13</v>
      </c>
      <c r="C9" s="11"/>
      <c r="D9" s="12">
        <v>400</v>
      </c>
      <c r="E9" s="13">
        <v>400</v>
      </c>
      <c r="F9" s="16">
        <f>985/2.33</f>
        <v>422.7467811158798</v>
      </c>
    </row>
    <row r="10" spans="1:6" ht="15" customHeight="1" x14ac:dyDescent="0.2">
      <c r="A10" s="3" t="s">
        <v>14</v>
      </c>
      <c r="B10" s="4"/>
      <c r="C10" s="4"/>
      <c r="D10" s="5"/>
      <c r="E10" s="5"/>
      <c r="F10" s="15"/>
    </row>
    <row r="11" spans="1:6" ht="15" customHeight="1" x14ac:dyDescent="0.2">
      <c r="A11" s="10" t="s">
        <v>14</v>
      </c>
      <c r="B11" s="11" t="s">
        <v>15</v>
      </c>
      <c r="C11" s="11"/>
      <c r="D11" s="12">
        <v>3480</v>
      </c>
      <c r="E11" s="13">
        <v>400</v>
      </c>
      <c r="F11" s="16">
        <f>300/1</f>
        <v>300</v>
      </c>
    </row>
    <row r="12" spans="1:6" ht="15" customHeight="1" thickBot="1" x14ac:dyDescent="0.25">
      <c r="A12" s="10" t="s">
        <v>14</v>
      </c>
      <c r="B12" s="11" t="s">
        <v>16</v>
      </c>
      <c r="C12" s="11"/>
      <c r="D12" s="12">
        <v>2000</v>
      </c>
      <c r="E12" s="13">
        <v>600</v>
      </c>
      <c r="F12" s="16">
        <f>493/0.77</f>
        <v>640.25974025974028</v>
      </c>
    </row>
    <row r="13" spans="1:6" ht="15" customHeight="1" x14ac:dyDescent="0.2">
      <c r="A13" s="3" t="s">
        <v>17</v>
      </c>
      <c r="B13" s="4"/>
      <c r="C13" s="4"/>
      <c r="D13" s="5"/>
      <c r="E13" s="5"/>
      <c r="F13" s="15"/>
    </row>
    <row r="14" spans="1:6" ht="15" customHeight="1" x14ac:dyDescent="0.2">
      <c r="A14" s="10" t="s">
        <v>17</v>
      </c>
      <c r="B14" s="11" t="s">
        <v>18</v>
      </c>
      <c r="C14" s="11"/>
      <c r="D14" s="12">
        <v>1500</v>
      </c>
      <c r="E14" s="13">
        <v>425</v>
      </c>
      <c r="F14" s="16">
        <f>150/0.35</f>
        <v>428.57142857142861</v>
      </c>
    </row>
    <row r="15" spans="1:6" ht="15" customHeight="1" x14ac:dyDescent="0.2">
      <c r="A15" s="10" t="s">
        <v>17</v>
      </c>
      <c r="B15" s="11" t="s">
        <v>19</v>
      </c>
      <c r="C15" s="11"/>
      <c r="D15" s="12">
        <v>1620</v>
      </c>
      <c r="E15" s="13">
        <v>189</v>
      </c>
      <c r="F15" s="16">
        <f>88/1.37</f>
        <v>64.233576642335763</v>
      </c>
    </row>
    <row r="16" spans="1:6" ht="15" customHeight="1" thickBot="1" x14ac:dyDescent="0.25">
      <c r="A16" s="10" t="s">
        <v>17</v>
      </c>
      <c r="B16" s="11" t="s">
        <v>20</v>
      </c>
      <c r="C16" s="11"/>
      <c r="D16" s="12">
        <v>1500</v>
      </c>
      <c r="E16" s="13">
        <v>425.25</v>
      </c>
      <c r="F16" s="16">
        <f>150/0.44</f>
        <v>340.90909090909093</v>
      </c>
    </row>
    <row r="17" spans="1:6" ht="15" customHeight="1" x14ac:dyDescent="0.2">
      <c r="A17" s="3" t="s">
        <v>21</v>
      </c>
      <c r="B17" s="4"/>
      <c r="C17" s="4"/>
      <c r="D17" s="5"/>
      <c r="E17" s="5"/>
      <c r="F17" s="15"/>
    </row>
    <row r="18" spans="1:6" ht="15" customHeight="1" thickBot="1" x14ac:dyDescent="0.25">
      <c r="A18" s="10" t="s">
        <v>21</v>
      </c>
      <c r="B18" s="11" t="s">
        <v>22</v>
      </c>
      <c r="C18" s="11"/>
      <c r="D18" s="12">
        <v>655</v>
      </c>
      <c r="E18" s="13">
        <v>588</v>
      </c>
      <c r="F18" s="16">
        <f>350/0.9</f>
        <v>388.88888888888886</v>
      </c>
    </row>
    <row r="19" spans="1:6" ht="15" customHeight="1" x14ac:dyDescent="0.2">
      <c r="A19" s="3" t="s">
        <v>23</v>
      </c>
      <c r="B19" s="4"/>
      <c r="C19" s="4"/>
      <c r="D19" s="5"/>
      <c r="E19" s="5"/>
      <c r="F19" s="15"/>
    </row>
    <row r="20" spans="1:6" ht="15" customHeight="1" x14ac:dyDescent="0.2">
      <c r="A20" s="10" t="s">
        <v>23</v>
      </c>
      <c r="B20" s="11" t="s">
        <v>24</v>
      </c>
      <c r="C20" s="11"/>
      <c r="D20" s="12">
        <v>1395</v>
      </c>
      <c r="E20" s="13">
        <v>743</v>
      </c>
      <c r="F20" s="16">
        <f>985/0.69</f>
        <v>1427.536231884058</v>
      </c>
    </row>
    <row r="21" spans="1:6" ht="15" customHeight="1" thickBot="1" x14ac:dyDescent="0.25">
      <c r="A21" s="10" t="s">
        <v>23</v>
      </c>
      <c r="B21" s="11" t="s">
        <v>25</v>
      </c>
      <c r="C21" s="11"/>
      <c r="D21" s="12">
        <v>1200</v>
      </c>
      <c r="E21" s="13">
        <v>400</v>
      </c>
      <c r="F21" s="16">
        <f>985/2.53</f>
        <v>389.32806324110675</v>
      </c>
    </row>
    <row r="22" spans="1:6" ht="15" customHeight="1" x14ac:dyDescent="0.2">
      <c r="A22" s="3" t="s">
        <v>26</v>
      </c>
      <c r="B22" s="4"/>
      <c r="C22" s="4"/>
      <c r="D22" s="5"/>
      <c r="E22" s="5"/>
      <c r="F22" s="15"/>
    </row>
    <row r="23" spans="1:6" ht="15" customHeight="1" x14ac:dyDescent="0.2">
      <c r="A23" s="10" t="s">
        <v>26</v>
      </c>
      <c r="B23" s="11" t="s">
        <v>27</v>
      </c>
      <c r="C23" s="11"/>
      <c r="D23" s="12">
        <v>0</v>
      </c>
      <c r="E23" s="13">
        <v>718</v>
      </c>
      <c r="F23" s="16">
        <f>250/0.7</f>
        <v>357.14285714285717</v>
      </c>
    </row>
    <row r="24" spans="1:6" ht="15" customHeight="1" thickBot="1" x14ac:dyDescent="0.25">
      <c r="A24" s="10" t="s">
        <v>26</v>
      </c>
      <c r="B24" s="11" t="s">
        <v>28</v>
      </c>
      <c r="C24" s="11"/>
      <c r="D24" s="12">
        <v>275</v>
      </c>
      <c r="E24" s="13">
        <v>275</v>
      </c>
      <c r="F24" s="16">
        <f>475/1.5</f>
        <v>316.66666666666669</v>
      </c>
    </row>
    <row r="25" spans="1:6" ht="15" customHeight="1" x14ac:dyDescent="0.2">
      <c r="A25" s="3" t="s">
        <v>29</v>
      </c>
      <c r="B25" s="4"/>
      <c r="C25" s="4"/>
      <c r="D25" s="5"/>
      <c r="E25" s="5"/>
      <c r="F25" s="15"/>
    </row>
    <row r="26" spans="1:6" ht="15" customHeight="1" thickBot="1" x14ac:dyDescent="0.25">
      <c r="A26" s="10" t="s">
        <v>29</v>
      </c>
      <c r="B26" s="11" t="s">
        <v>30</v>
      </c>
      <c r="C26" s="11"/>
      <c r="D26" s="12">
        <v>6970</v>
      </c>
      <c r="E26" s="13">
        <v>400</v>
      </c>
      <c r="F26" s="16">
        <f>985/0.74</f>
        <v>1331.081081081081</v>
      </c>
    </row>
    <row r="27" spans="1:6" ht="15" customHeight="1" x14ac:dyDescent="0.2">
      <c r="A27" s="3" t="s">
        <v>31</v>
      </c>
      <c r="B27" s="4"/>
      <c r="C27" s="4"/>
      <c r="D27" s="5"/>
      <c r="E27" s="5"/>
      <c r="F27" s="15"/>
    </row>
    <row r="28" spans="1:6" ht="15" customHeight="1" x14ac:dyDescent="0.2">
      <c r="A28" s="10" t="s">
        <v>31</v>
      </c>
      <c r="B28" s="11" t="s">
        <v>32</v>
      </c>
      <c r="C28" s="11"/>
      <c r="D28" s="12">
        <v>2200</v>
      </c>
      <c r="E28" s="13">
        <v>263</v>
      </c>
      <c r="F28" s="16">
        <f>200/0.7</f>
        <v>285.71428571428572</v>
      </c>
    </row>
    <row r="29" spans="1:6" ht="15" customHeight="1" x14ac:dyDescent="0.2">
      <c r="A29" s="10" t="s">
        <v>31</v>
      </c>
      <c r="B29" s="11" t="s">
        <v>33</v>
      </c>
      <c r="C29" s="11"/>
      <c r="D29" s="12">
        <v>2200</v>
      </c>
      <c r="E29" s="13">
        <v>400</v>
      </c>
      <c r="F29" s="16">
        <f>200/0.59</f>
        <v>338.98305084745766</v>
      </c>
    </row>
    <row r="30" spans="1:6" ht="15" customHeight="1" thickBot="1" x14ac:dyDescent="0.25">
      <c r="A30" s="10" t="s">
        <v>31</v>
      </c>
      <c r="B30" s="11" t="s">
        <v>34</v>
      </c>
      <c r="C30" s="11"/>
      <c r="D30" s="12">
        <v>1285</v>
      </c>
      <c r="E30" s="13">
        <v>400</v>
      </c>
      <c r="F30" s="16">
        <f>150/0.41</f>
        <v>365.85365853658539</v>
      </c>
    </row>
    <row r="31" spans="1:6" ht="15" customHeight="1" x14ac:dyDescent="0.2">
      <c r="A31" s="3" t="s">
        <v>35</v>
      </c>
      <c r="B31" s="4"/>
      <c r="C31" s="4"/>
      <c r="D31" s="5"/>
      <c r="E31" s="5"/>
      <c r="F31" s="15"/>
    </row>
    <row r="32" spans="1:6" ht="14.25" customHeight="1" thickBot="1" x14ac:dyDescent="0.25">
      <c r="A32" s="10" t="s">
        <v>35</v>
      </c>
      <c r="B32" s="11" t="s">
        <v>36</v>
      </c>
      <c r="C32" s="11"/>
      <c r="D32" s="12">
        <v>1180</v>
      </c>
      <c r="E32" s="13">
        <v>337.5</v>
      </c>
      <c r="F32" s="16">
        <f>540/0.86</f>
        <v>627.90697674418607</v>
      </c>
    </row>
    <row r="33" spans="1:6" ht="15" customHeight="1" x14ac:dyDescent="0.2">
      <c r="A33" s="3" t="s">
        <v>37</v>
      </c>
      <c r="B33" s="4"/>
      <c r="C33" s="4"/>
      <c r="D33" s="5"/>
      <c r="E33" s="5"/>
      <c r="F33" s="15"/>
    </row>
    <row r="34" spans="1:6" ht="15" customHeight="1" thickBot="1" x14ac:dyDescent="0.25">
      <c r="A34" s="10" t="s">
        <v>37</v>
      </c>
      <c r="B34" s="11"/>
      <c r="C34" s="11" t="s">
        <v>38</v>
      </c>
      <c r="D34" s="12">
        <v>750</v>
      </c>
      <c r="E34" s="13">
        <v>750</v>
      </c>
      <c r="F34" s="16"/>
    </row>
    <row r="35" spans="1:6" ht="15" customHeight="1" x14ac:dyDescent="0.2">
      <c r="A35" s="3" t="s">
        <v>39</v>
      </c>
      <c r="B35" s="4"/>
      <c r="C35" s="4"/>
      <c r="D35" s="5"/>
      <c r="E35" s="5"/>
      <c r="F35" s="15"/>
    </row>
    <row r="36" spans="1:6" ht="15" customHeight="1" thickBot="1" x14ac:dyDescent="0.25">
      <c r="A36" s="10" t="s">
        <v>39</v>
      </c>
      <c r="B36" s="11"/>
      <c r="C36" s="11" t="s">
        <v>40</v>
      </c>
      <c r="D36" s="12">
        <v>750</v>
      </c>
      <c r="E36" s="13">
        <v>750</v>
      </c>
      <c r="F36" s="16"/>
    </row>
    <row r="37" spans="1:6" ht="15" customHeight="1" x14ac:dyDescent="0.2">
      <c r="A37" s="3" t="s">
        <v>41</v>
      </c>
      <c r="B37" s="4"/>
      <c r="C37" s="4"/>
      <c r="D37" s="5"/>
      <c r="E37" s="5"/>
      <c r="F37" s="15"/>
    </row>
    <row r="38" spans="1:6" ht="15" customHeight="1" thickBot="1" x14ac:dyDescent="0.25">
      <c r="A38" s="10" t="s">
        <v>41</v>
      </c>
      <c r="B38" s="11" t="s">
        <v>42</v>
      </c>
      <c r="C38" s="11"/>
      <c r="D38" s="12">
        <v>0</v>
      </c>
      <c r="E38" s="13">
        <v>262.5</v>
      </c>
      <c r="F38" s="16">
        <f>400/0.75</f>
        <v>533.33333333333337</v>
      </c>
    </row>
    <row r="39" spans="1:6" ht="15" customHeight="1" x14ac:dyDescent="0.2">
      <c r="A39" s="3" t="s">
        <v>43</v>
      </c>
      <c r="B39" s="4"/>
      <c r="C39" s="4"/>
      <c r="D39" s="5"/>
      <c r="E39" s="5"/>
      <c r="F39" s="15"/>
    </row>
    <row r="40" spans="1:6" ht="15" customHeight="1" x14ac:dyDescent="0.2">
      <c r="A40" s="10" t="s">
        <v>43</v>
      </c>
      <c r="B40" s="11"/>
      <c r="C40" s="11" t="s">
        <v>38</v>
      </c>
      <c r="D40" s="12">
        <v>1972</v>
      </c>
      <c r="E40" s="13">
        <v>750</v>
      </c>
      <c r="F40" s="16"/>
    </row>
    <row r="41" spans="1:6" ht="15" customHeight="1" thickBot="1" x14ac:dyDescent="0.25">
      <c r="A41" s="10" t="s">
        <v>43</v>
      </c>
      <c r="B41" s="11" t="s">
        <v>44</v>
      </c>
      <c r="C41" s="11"/>
      <c r="D41" s="12">
        <v>0</v>
      </c>
      <c r="E41" s="13">
        <v>330</v>
      </c>
      <c r="F41" s="16">
        <f>300/0.79</f>
        <v>379.74683544303798</v>
      </c>
    </row>
    <row r="42" spans="1:6" ht="15" customHeight="1" x14ac:dyDescent="0.2">
      <c r="A42" s="3" t="s">
        <v>45</v>
      </c>
      <c r="B42" s="4"/>
      <c r="C42" s="4"/>
      <c r="D42" s="5"/>
      <c r="E42" s="5"/>
      <c r="F42" s="15"/>
    </row>
    <row r="43" spans="1:6" ht="15" customHeight="1" x14ac:dyDescent="0.2">
      <c r="A43" s="10" t="s">
        <v>45</v>
      </c>
      <c r="B43" s="11" t="s">
        <v>46</v>
      </c>
      <c r="C43" s="11"/>
      <c r="D43" s="12">
        <v>3690</v>
      </c>
      <c r="E43" s="13">
        <v>588</v>
      </c>
      <c r="F43" s="16">
        <f>250/0.69</f>
        <v>362.31884057971018</v>
      </c>
    </row>
    <row r="44" spans="1:6" ht="15" customHeight="1" thickBot="1" x14ac:dyDescent="0.25">
      <c r="A44" s="10" t="s">
        <v>45</v>
      </c>
      <c r="B44" s="11"/>
      <c r="C44" s="11" t="s">
        <v>47</v>
      </c>
      <c r="D44" s="12">
        <v>0</v>
      </c>
      <c r="E44" s="13">
        <v>375</v>
      </c>
      <c r="F44" s="16"/>
    </row>
    <row r="45" spans="1:6" ht="15" customHeight="1" x14ac:dyDescent="0.2">
      <c r="A45" s="3" t="s">
        <v>48</v>
      </c>
      <c r="B45" s="4"/>
      <c r="C45" s="4"/>
      <c r="D45" s="5"/>
      <c r="E45" s="5"/>
      <c r="F45" s="15"/>
    </row>
    <row r="46" spans="1:6" ht="15" customHeight="1" thickBot="1" x14ac:dyDescent="0.25">
      <c r="A46" s="10" t="s">
        <v>48</v>
      </c>
      <c r="B46" s="11" t="s">
        <v>49</v>
      </c>
      <c r="C46" s="11"/>
      <c r="D46" s="12">
        <v>485</v>
      </c>
      <c r="E46" s="13">
        <v>400</v>
      </c>
      <c r="F46" s="16">
        <f>150/0.69</f>
        <v>217.39130434782609</v>
      </c>
    </row>
    <row r="47" spans="1:6" ht="15" customHeight="1" x14ac:dyDescent="0.2">
      <c r="A47" s="3" t="s">
        <v>50</v>
      </c>
      <c r="B47" s="4"/>
      <c r="C47" s="4"/>
      <c r="D47" s="5"/>
      <c r="E47" s="5"/>
      <c r="F47" s="15"/>
    </row>
    <row r="48" spans="1:6" ht="15" customHeight="1" x14ac:dyDescent="0.2">
      <c r="A48" s="10" t="s">
        <v>50</v>
      </c>
      <c r="B48" s="11" t="s">
        <v>7</v>
      </c>
      <c r="C48" s="11"/>
      <c r="D48" s="12">
        <v>3420</v>
      </c>
      <c r="E48" s="13">
        <v>425.25</v>
      </c>
      <c r="F48" s="16">
        <f>200/0.7</f>
        <v>285.71428571428572</v>
      </c>
    </row>
    <row r="49" spans="1:6" ht="15" customHeight="1" thickBot="1" x14ac:dyDescent="0.25">
      <c r="A49" s="10" t="s">
        <v>50</v>
      </c>
      <c r="B49" s="11" t="s">
        <v>51</v>
      </c>
      <c r="C49" s="11"/>
      <c r="D49" s="12">
        <v>3010</v>
      </c>
      <c r="E49" s="13">
        <v>602</v>
      </c>
      <c r="F49" s="16">
        <f>150/0.46</f>
        <v>326.08695652173913</v>
      </c>
    </row>
    <row r="50" spans="1:6" ht="15" customHeight="1" x14ac:dyDescent="0.2">
      <c r="A50" s="3" t="s">
        <v>52</v>
      </c>
      <c r="B50" s="4"/>
      <c r="C50" s="4"/>
      <c r="D50" s="5"/>
      <c r="E50" s="5"/>
      <c r="F50" s="15"/>
    </row>
    <row r="51" spans="1:6" ht="15" customHeight="1" thickBot="1" x14ac:dyDescent="0.25">
      <c r="A51" s="10" t="s">
        <v>52</v>
      </c>
      <c r="B51" s="11" t="s">
        <v>53</v>
      </c>
      <c r="C51" s="11"/>
      <c r="D51" s="12">
        <v>14800</v>
      </c>
      <c r="E51" s="13">
        <v>400</v>
      </c>
      <c r="F51" s="16">
        <f>985/3.16</f>
        <v>311.70886075949363</v>
      </c>
    </row>
    <row r="52" spans="1:6" ht="15" customHeight="1" x14ac:dyDescent="0.2">
      <c r="A52" s="3" t="s">
        <v>54</v>
      </c>
      <c r="B52" s="4"/>
      <c r="C52" s="4"/>
      <c r="D52" s="5"/>
      <c r="E52" s="5"/>
      <c r="F52" s="15"/>
    </row>
    <row r="53" spans="1:6" ht="15" customHeight="1" thickBot="1" x14ac:dyDescent="0.25">
      <c r="A53" s="10" t="s">
        <v>54</v>
      </c>
      <c r="B53" s="11" t="s">
        <v>55</v>
      </c>
      <c r="C53" s="11"/>
      <c r="D53" s="12">
        <v>718</v>
      </c>
      <c r="E53" s="13">
        <v>718</v>
      </c>
      <c r="F53" s="16">
        <f>600/1.56</f>
        <v>384.61538461538458</v>
      </c>
    </row>
    <row r="54" spans="1:6" ht="15" customHeight="1" x14ac:dyDescent="0.2">
      <c r="A54" s="3" t="s">
        <v>56</v>
      </c>
      <c r="B54" s="4"/>
      <c r="C54" s="4"/>
      <c r="D54" s="5"/>
      <c r="E54" s="5"/>
      <c r="F54" s="15"/>
    </row>
    <row r="55" spans="1:6" ht="15" customHeight="1" x14ac:dyDescent="0.2">
      <c r="A55" s="10" t="s">
        <v>56</v>
      </c>
      <c r="B55" s="11" t="s">
        <v>46</v>
      </c>
      <c r="C55" s="11"/>
      <c r="D55" s="12">
        <v>1480</v>
      </c>
      <c r="E55" s="13">
        <v>588</v>
      </c>
      <c r="F55" s="16">
        <f>250/0.69</f>
        <v>362.31884057971018</v>
      </c>
    </row>
    <row r="56" spans="1:6" ht="15" customHeight="1" x14ac:dyDescent="0.2">
      <c r="A56" s="10" t="s">
        <v>56</v>
      </c>
      <c r="B56" s="11" t="s">
        <v>57</v>
      </c>
      <c r="C56" s="11"/>
      <c r="D56" s="12">
        <v>1300</v>
      </c>
      <c r="E56" s="13">
        <v>717.5</v>
      </c>
      <c r="F56" s="16">
        <f>473/1.01</f>
        <v>468.31683168316829</v>
      </c>
    </row>
    <row r="57" spans="1:6" ht="15" customHeight="1" thickBot="1" x14ac:dyDescent="0.25">
      <c r="A57" s="10" t="s">
        <v>56</v>
      </c>
      <c r="B57" s="11" t="s">
        <v>58</v>
      </c>
      <c r="C57" s="11"/>
      <c r="D57" s="12">
        <v>1300</v>
      </c>
      <c r="E57" s="13">
        <v>717.5</v>
      </c>
      <c r="F57" s="16">
        <f>473/0.92</f>
        <v>514.13043478260863</v>
      </c>
    </row>
    <row r="58" spans="1:6" ht="15" customHeight="1" x14ac:dyDescent="0.2">
      <c r="A58" s="3" t="s">
        <v>59</v>
      </c>
      <c r="B58" s="4"/>
      <c r="C58" s="4"/>
      <c r="D58" s="5"/>
      <c r="E58" s="5"/>
      <c r="F58" s="15"/>
    </row>
    <row r="59" spans="1:6" ht="15" customHeight="1" thickBot="1" x14ac:dyDescent="0.25">
      <c r="A59" s="10" t="s">
        <v>59</v>
      </c>
      <c r="B59" s="11" t="s">
        <v>60</v>
      </c>
      <c r="C59" s="11"/>
      <c r="D59" s="12">
        <v>0</v>
      </c>
      <c r="E59" s="13">
        <v>400</v>
      </c>
      <c r="F59" s="16">
        <f>985/2.67</f>
        <v>368.91385767790263</v>
      </c>
    </row>
    <row r="60" spans="1:6" ht="15" customHeight="1" x14ac:dyDescent="0.2">
      <c r="A60" s="3" t="s">
        <v>61</v>
      </c>
      <c r="B60" s="4"/>
      <c r="C60" s="4"/>
      <c r="D60" s="5"/>
      <c r="E60" s="5"/>
      <c r="F60" s="15"/>
    </row>
    <row r="61" spans="1:6" ht="15" customHeight="1" thickBot="1" x14ac:dyDescent="0.25">
      <c r="A61" s="10" t="s">
        <v>61</v>
      </c>
      <c r="B61" s="11" t="s">
        <v>62</v>
      </c>
      <c r="C61" s="11"/>
      <c r="D61" s="12">
        <v>9540</v>
      </c>
      <c r="E61" s="13">
        <v>400</v>
      </c>
      <c r="F61" s="16">
        <f>985/0.61</f>
        <v>1614.7540983606557</v>
      </c>
    </row>
    <row r="62" spans="1:6" ht="15" customHeight="1" x14ac:dyDescent="0.2">
      <c r="A62" s="3" t="s">
        <v>63</v>
      </c>
      <c r="B62" s="4"/>
      <c r="C62" s="4"/>
      <c r="D62" s="5"/>
      <c r="E62" s="5"/>
      <c r="F62" s="15"/>
    </row>
    <row r="63" spans="1:6" ht="15" customHeight="1" thickBot="1" x14ac:dyDescent="0.25">
      <c r="A63" s="10" t="s">
        <v>63</v>
      </c>
      <c r="B63" s="11" t="s">
        <v>36</v>
      </c>
      <c r="C63" s="11"/>
      <c r="D63" s="12">
        <v>895</v>
      </c>
      <c r="E63" s="13">
        <v>337.5</v>
      </c>
      <c r="F63" s="16">
        <f>540/0.86</f>
        <v>627.90697674418607</v>
      </c>
    </row>
    <row r="64" spans="1:6" ht="15" customHeight="1" x14ac:dyDescent="0.2">
      <c r="A64" s="3" t="s">
        <v>64</v>
      </c>
      <c r="B64" s="4"/>
      <c r="C64" s="4"/>
      <c r="D64" s="5"/>
      <c r="E64" s="5"/>
      <c r="F64" s="15"/>
    </row>
    <row r="65" spans="1:6" ht="15" customHeight="1" x14ac:dyDescent="0.2">
      <c r="A65" s="10" t="s">
        <v>64</v>
      </c>
      <c r="B65" s="11" t="s">
        <v>65</v>
      </c>
      <c r="C65" s="11"/>
      <c r="D65" s="12">
        <v>0</v>
      </c>
      <c r="E65" s="13">
        <v>730</v>
      </c>
      <c r="F65" s="16">
        <f>400/0.49</f>
        <v>816.32653061224494</v>
      </c>
    </row>
    <row r="66" spans="1:6" ht="15" customHeight="1" x14ac:dyDescent="0.2">
      <c r="A66" s="10" t="s">
        <v>64</v>
      </c>
      <c r="B66" s="11" t="s">
        <v>27</v>
      </c>
      <c r="C66" s="11"/>
      <c r="D66" s="12">
        <v>0</v>
      </c>
      <c r="E66" s="13">
        <v>717.5</v>
      </c>
      <c r="F66" s="16">
        <f>250/0.7</f>
        <v>357.14285714285717</v>
      </c>
    </row>
    <row r="67" spans="1:6" ht="15" customHeight="1" thickBot="1" x14ac:dyDescent="0.25">
      <c r="A67" s="10" t="s">
        <v>64</v>
      </c>
      <c r="B67" s="11" t="s">
        <v>66</v>
      </c>
      <c r="C67" s="11"/>
      <c r="D67" s="12">
        <v>0</v>
      </c>
      <c r="E67" s="13">
        <v>400</v>
      </c>
      <c r="F67" s="16">
        <f>328/1.21</f>
        <v>271.07438016528926</v>
      </c>
    </row>
    <row r="68" spans="1:6" ht="15" customHeight="1" x14ac:dyDescent="0.2">
      <c r="A68" s="3" t="s">
        <v>67</v>
      </c>
      <c r="B68" s="4"/>
      <c r="C68" s="4"/>
      <c r="D68" s="5"/>
      <c r="E68" s="5"/>
      <c r="F68" s="15"/>
    </row>
    <row r="69" spans="1:6" ht="15" customHeight="1" x14ac:dyDescent="0.2">
      <c r="A69" s="10" t="s">
        <v>67</v>
      </c>
      <c r="B69" s="11" t="s">
        <v>68</v>
      </c>
      <c r="C69" s="11"/>
      <c r="D69" s="12">
        <v>650</v>
      </c>
      <c r="E69" s="13">
        <v>400</v>
      </c>
      <c r="F69" s="16">
        <f>150/0.84</f>
        <v>178.57142857142858</v>
      </c>
    </row>
    <row r="70" spans="1:6" ht="15" customHeight="1" thickBot="1" x14ac:dyDescent="0.25">
      <c r="A70" s="10" t="s">
        <v>67</v>
      </c>
      <c r="B70" s="11" t="s">
        <v>69</v>
      </c>
      <c r="C70" s="11"/>
      <c r="D70" s="12">
        <v>1230</v>
      </c>
      <c r="E70" s="13">
        <v>718</v>
      </c>
      <c r="F70" s="16">
        <f>600/1.56</f>
        <v>384.61538461538458</v>
      </c>
    </row>
    <row r="71" spans="1:6" ht="15" customHeight="1" x14ac:dyDescent="0.2">
      <c r="A71" s="3" t="s">
        <v>70</v>
      </c>
      <c r="B71" s="4"/>
      <c r="C71" s="4"/>
      <c r="D71" s="5"/>
      <c r="E71" s="5"/>
      <c r="F71" s="15"/>
    </row>
    <row r="72" spans="1:6" ht="15" customHeight="1" x14ac:dyDescent="0.2">
      <c r="A72" s="10" t="s">
        <v>70</v>
      </c>
      <c r="B72" s="11" t="s">
        <v>32</v>
      </c>
      <c r="C72" s="11"/>
      <c r="D72" s="12">
        <v>1840</v>
      </c>
      <c r="E72" s="13">
        <v>263</v>
      </c>
      <c r="F72" s="16">
        <f>200/0.7</f>
        <v>285.71428571428572</v>
      </c>
    </row>
    <row r="73" spans="1:6" ht="15" customHeight="1" x14ac:dyDescent="0.2">
      <c r="A73" s="10" t="s">
        <v>70</v>
      </c>
      <c r="B73" s="11" t="s">
        <v>71</v>
      </c>
      <c r="C73" s="11"/>
      <c r="D73" s="12">
        <v>2000</v>
      </c>
      <c r="E73" s="13">
        <v>400</v>
      </c>
      <c r="F73" s="16">
        <f>300/0.56</f>
        <v>535.71428571428567</v>
      </c>
    </row>
    <row r="74" spans="1:6" ht="15" customHeight="1" x14ac:dyDescent="0.2">
      <c r="A74" s="10" t="s">
        <v>70</v>
      </c>
      <c r="B74" s="11" t="s">
        <v>72</v>
      </c>
      <c r="C74" s="11"/>
      <c r="D74" s="12">
        <v>4000</v>
      </c>
      <c r="E74" s="13">
        <v>400</v>
      </c>
      <c r="F74" s="16">
        <f>100/0.89</f>
        <v>112.35955056179775</v>
      </c>
    </row>
    <row r="75" spans="1:6" ht="15" customHeight="1" x14ac:dyDescent="0.2">
      <c r="A75" s="10" t="s">
        <v>70</v>
      </c>
      <c r="B75" s="11" t="s">
        <v>73</v>
      </c>
      <c r="C75" s="11"/>
      <c r="D75" s="12">
        <v>2205</v>
      </c>
      <c r="E75" s="13">
        <v>315</v>
      </c>
      <c r="F75" s="16">
        <f>240/1.02</f>
        <v>235.29411764705881</v>
      </c>
    </row>
    <row r="76" spans="1:6" ht="15" customHeight="1" x14ac:dyDescent="0.2">
      <c r="A76" s="10" t="s">
        <v>70</v>
      </c>
      <c r="B76" s="11" t="s">
        <v>74</v>
      </c>
      <c r="C76" s="11"/>
      <c r="D76" s="12">
        <v>4000</v>
      </c>
      <c r="E76" s="13">
        <v>400</v>
      </c>
      <c r="F76" s="16">
        <f>200/0.59</f>
        <v>338.98305084745766</v>
      </c>
    </row>
    <row r="77" spans="1:6" ht="15" customHeight="1" x14ac:dyDescent="0.2">
      <c r="A77" s="10" t="s">
        <v>70</v>
      </c>
      <c r="B77" s="11" t="s">
        <v>75</v>
      </c>
      <c r="C77" s="11"/>
      <c r="D77" s="12">
        <v>2800</v>
      </c>
      <c r="E77" s="13">
        <v>400</v>
      </c>
      <c r="F77" s="16">
        <f>985/0.92</f>
        <v>1070.6521739130435</v>
      </c>
    </row>
    <row r="78" spans="1:6" ht="15" customHeight="1" x14ac:dyDescent="0.2">
      <c r="A78" s="10" t="s">
        <v>70</v>
      </c>
      <c r="B78" s="11" t="s">
        <v>76</v>
      </c>
      <c r="C78" s="11"/>
      <c r="D78" s="12">
        <v>8005</v>
      </c>
      <c r="E78" s="13">
        <v>400</v>
      </c>
      <c r="F78" s="16">
        <f>985/1.08</f>
        <v>912.03703703703695</v>
      </c>
    </row>
    <row r="79" spans="1:6" ht="15" customHeight="1" x14ac:dyDescent="0.2">
      <c r="A79" s="10" t="s">
        <v>70</v>
      </c>
      <c r="B79" s="11" t="s">
        <v>77</v>
      </c>
      <c r="C79" s="11"/>
      <c r="D79" s="12">
        <v>7200</v>
      </c>
      <c r="E79" s="13">
        <v>400</v>
      </c>
      <c r="F79" s="16">
        <f>300/2</f>
        <v>150</v>
      </c>
    </row>
    <row r="80" spans="1:6" ht="15" customHeight="1" x14ac:dyDescent="0.2">
      <c r="A80" s="10" t="s">
        <v>70</v>
      </c>
      <c r="B80" s="11" t="s">
        <v>78</v>
      </c>
      <c r="C80" s="11"/>
      <c r="D80" s="12">
        <v>1225</v>
      </c>
      <c r="E80" s="13">
        <v>175</v>
      </c>
      <c r="F80" s="16">
        <f>467/1.23</f>
        <v>379.67479674796749</v>
      </c>
    </row>
    <row r="81" spans="1:6" ht="15" customHeight="1" x14ac:dyDescent="0.2">
      <c r="A81" s="10" t="s">
        <v>70</v>
      </c>
      <c r="B81" s="11" t="s">
        <v>79</v>
      </c>
      <c r="C81" s="11"/>
      <c r="D81" s="12">
        <v>2800</v>
      </c>
      <c r="E81" s="13">
        <v>400</v>
      </c>
      <c r="F81" s="16">
        <f>150/0.6</f>
        <v>250</v>
      </c>
    </row>
    <row r="82" spans="1:6" ht="15" customHeight="1" x14ac:dyDescent="0.2">
      <c r="A82" s="10" t="s">
        <v>70</v>
      </c>
      <c r="B82" s="11" t="s">
        <v>80</v>
      </c>
      <c r="C82" s="11"/>
      <c r="D82" s="12">
        <v>7200</v>
      </c>
      <c r="E82" s="13">
        <v>400</v>
      </c>
      <c r="F82" s="16">
        <f>399/1.14</f>
        <v>350.00000000000006</v>
      </c>
    </row>
    <row r="83" spans="1:6" ht="15" customHeight="1" x14ac:dyDescent="0.2">
      <c r="A83" s="10" t="s">
        <v>70</v>
      </c>
      <c r="B83" s="11" t="s">
        <v>81</v>
      </c>
      <c r="C83" s="11"/>
      <c r="D83" s="12">
        <v>2000</v>
      </c>
      <c r="E83" s="13">
        <v>400</v>
      </c>
      <c r="F83" s="16">
        <f>300/0.56</f>
        <v>535.71428571428567</v>
      </c>
    </row>
    <row r="84" spans="1:6" ht="15" customHeight="1" x14ac:dyDescent="0.2">
      <c r="A84" s="10" t="s">
        <v>70</v>
      </c>
      <c r="B84" s="11" t="s">
        <v>82</v>
      </c>
      <c r="C84" s="11"/>
      <c r="D84" s="12">
        <v>3960</v>
      </c>
      <c r="E84" s="13">
        <v>264</v>
      </c>
      <c r="F84" s="16">
        <f>158/0.84</f>
        <v>188.0952380952381</v>
      </c>
    </row>
    <row r="85" spans="1:6" ht="15" customHeight="1" x14ac:dyDescent="0.2">
      <c r="A85" s="10" t="s">
        <v>70</v>
      </c>
      <c r="B85" s="11" t="s">
        <v>83</v>
      </c>
      <c r="C85" s="11"/>
      <c r="D85" s="12">
        <v>8005</v>
      </c>
      <c r="E85" s="13">
        <v>400</v>
      </c>
      <c r="F85" s="16">
        <f>299/0.84</f>
        <v>355.95238095238096</v>
      </c>
    </row>
    <row r="86" spans="1:6" ht="15" customHeight="1" thickBot="1" x14ac:dyDescent="0.25">
      <c r="A86" s="10" t="s">
        <v>70</v>
      </c>
      <c r="B86" s="11"/>
      <c r="C86" s="11" t="s">
        <v>84</v>
      </c>
      <c r="D86" s="12">
        <v>13480</v>
      </c>
      <c r="E86" s="13">
        <v>750</v>
      </c>
      <c r="F86" s="16"/>
    </row>
    <row r="87" spans="1:6" ht="15" customHeight="1" x14ac:dyDescent="0.2">
      <c r="A87" s="3" t="s">
        <v>85</v>
      </c>
      <c r="B87" s="4"/>
      <c r="C87" s="4"/>
      <c r="D87" s="5"/>
      <c r="E87" s="5"/>
      <c r="F87" s="15"/>
    </row>
    <row r="88" spans="1:6" ht="15" customHeight="1" thickBot="1" x14ac:dyDescent="0.25">
      <c r="A88" s="10" t="s">
        <v>85</v>
      </c>
      <c r="B88" s="11"/>
      <c r="C88" s="11" t="s">
        <v>86</v>
      </c>
      <c r="D88" s="12">
        <v>750</v>
      </c>
      <c r="E88" s="13">
        <v>750</v>
      </c>
      <c r="F88" s="16"/>
    </row>
    <row r="89" spans="1:6" ht="15" customHeight="1" x14ac:dyDescent="0.2">
      <c r="A89" s="3" t="s">
        <v>87</v>
      </c>
      <c r="B89" s="4"/>
      <c r="C89" s="4"/>
      <c r="D89" s="5"/>
      <c r="E89" s="5"/>
      <c r="F89" s="15"/>
    </row>
    <row r="90" spans="1:6" ht="15" customHeight="1" x14ac:dyDescent="0.2">
      <c r="A90" s="10" t="s">
        <v>87</v>
      </c>
      <c r="B90" s="11" t="s">
        <v>22</v>
      </c>
      <c r="C90" s="11"/>
      <c r="D90" s="12">
        <v>1175</v>
      </c>
      <c r="E90" s="13">
        <v>588</v>
      </c>
      <c r="F90" s="16">
        <f>350/0.9</f>
        <v>388.88888888888886</v>
      </c>
    </row>
    <row r="91" spans="1:6" ht="15" customHeight="1" thickBot="1" x14ac:dyDescent="0.25">
      <c r="A91" s="10" t="s">
        <v>87</v>
      </c>
      <c r="B91" s="11" t="s">
        <v>11</v>
      </c>
      <c r="C91" s="11"/>
      <c r="D91" s="12">
        <v>1230</v>
      </c>
      <c r="E91" s="13">
        <v>400</v>
      </c>
      <c r="F91" s="16">
        <f>985/0.8</f>
        <v>1231.25</v>
      </c>
    </row>
    <row r="92" spans="1:6" ht="15" customHeight="1" x14ac:dyDescent="0.2">
      <c r="A92" s="3" t="s">
        <v>88</v>
      </c>
      <c r="B92" s="4"/>
      <c r="C92" s="4"/>
      <c r="D92" s="5"/>
      <c r="E92" s="5"/>
      <c r="F92" s="15"/>
    </row>
    <row r="93" spans="1:6" ht="15" customHeight="1" x14ac:dyDescent="0.2">
      <c r="A93" s="10" t="s">
        <v>88</v>
      </c>
      <c r="B93" s="11" t="s">
        <v>89</v>
      </c>
      <c r="C93" s="11"/>
      <c r="D93" s="12">
        <v>2875</v>
      </c>
      <c r="E93" s="13">
        <v>717.5</v>
      </c>
      <c r="F93" s="16">
        <f>335/0.57</f>
        <v>587.71929824561414</v>
      </c>
    </row>
    <row r="94" spans="1:6" ht="15" customHeight="1" thickBot="1" x14ac:dyDescent="0.25">
      <c r="A94" s="10" t="s">
        <v>88</v>
      </c>
      <c r="B94" s="11"/>
      <c r="C94" s="11" t="s">
        <v>90</v>
      </c>
      <c r="D94" s="12">
        <v>12975</v>
      </c>
      <c r="E94" s="13">
        <v>750</v>
      </c>
      <c r="F94" s="16"/>
    </row>
    <row r="95" spans="1:6" ht="15" customHeight="1" x14ac:dyDescent="0.2">
      <c r="A95" s="3" t="s">
        <v>91</v>
      </c>
      <c r="B95" s="4"/>
      <c r="C95" s="4"/>
      <c r="D95" s="5"/>
      <c r="E95" s="5"/>
      <c r="F95" s="15"/>
    </row>
    <row r="96" spans="1:6" ht="15" customHeight="1" thickBot="1" x14ac:dyDescent="0.25">
      <c r="A96" s="10" t="s">
        <v>91</v>
      </c>
      <c r="B96" s="11"/>
      <c r="C96" s="11" t="s">
        <v>90</v>
      </c>
      <c r="D96" s="12">
        <v>22105</v>
      </c>
      <c r="E96" s="13">
        <v>750</v>
      </c>
      <c r="F96" s="16"/>
    </row>
    <row r="97" spans="1:6" ht="15" customHeight="1" x14ac:dyDescent="0.2">
      <c r="A97" s="3" t="s">
        <v>92</v>
      </c>
      <c r="B97" s="4"/>
      <c r="C97" s="4"/>
      <c r="D97" s="5"/>
      <c r="E97" s="5"/>
      <c r="F97" s="15"/>
    </row>
    <row r="98" spans="1:6" ht="15" customHeight="1" thickBot="1" x14ac:dyDescent="0.25">
      <c r="A98" s="10" t="s">
        <v>92</v>
      </c>
      <c r="B98" s="11"/>
      <c r="C98" s="11" t="s">
        <v>38</v>
      </c>
      <c r="D98" s="12">
        <v>2900</v>
      </c>
      <c r="E98" s="13">
        <v>750</v>
      </c>
      <c r="F98" s="16"/>
    </row>
    <row r="99" spans="1:6" ht="15" customHeight="1" x14ac:dyDescent="0.2">
      <c r="A99" s="3" t="s">
        <v>93</v>
      </c>
      <c r="B99" s="4"/>
      <c r="C99" s="4"/>
      <c r="D99" s="5"/>
      <c r="E99" s="5"/>
      <c r="F99" s="15"/>
    </row>
    <row r="100" spans="1:6" ht="15" customHeight="1" x14ac:dyDescent="0.2">
      <c r="A100" s="10" t="s">
        <v>93</v>
      </c>
      <c r="B100" s="11" t="s">
        <v>94</v>
      </c>
      <c r="C100" s="11"/>
      <c r="D100" s="12">
        <v>780</v>
      </c>
      <c r="E100" s="13">
        <v>392</v>
      </c>
      <c r="F100" s="16">
        <f>150/0.77</f>
        <v>194.80519480519479</v>
      </c>
    </row>
    <row r="101" spans="1:6" ht="15" customHeight="1" x14ac:dyDescent="0.2">
      <c r="A101" s="10" t="s">
        <v>93</v>
      </c>
      <c r="B101" s="11" t="s">
        <v>95</v>
      </c>
      <c r="C101" s="11"/>
      <c r="D101" s="12">
        <v>5280</v>
      </c>
      <c r="E101" s="13">
        <v>400</v>
      </c>
      <c r="F101" s="16">
        <f>50/1.13</f>
        <v>44.247787610619476</v>
      </c>
    </row>
    <row r="102" spans="1:6" ht="15" customHeight="1" x14ac:dyDescent="0.2">
      <c r="A102" s="10" t="s">
        <v>93</v>
      </c>
      <c r="B102" s="11" t="s">
        <v>96</v>
      </c>
      <c r="C102" s="11"/>
      <c r="D102" s="12">
        <v>5200</v>
      </c>
      <c r="E102" s="13">
        <v>400</v>
      </c>
      <c r="F102" s="16">
        <f>360/0.71</f>
        <v>507.04225352112678</v>
      </c>
    </row>
    <row r="103" spans="1:6" ht="15" customHeight="1" x14ac:dyDescent="0.2">
      <c r="A103" s="10" t="s">
        <v>93</v>
      </c>
      <c r="B103" s="11" t="s">
        <v>97</v>
      </c>
      <c r="C103" s="11"/>
      <c r="D103" s="12">
        <v>2275</v>
      </c>
      <c r="E103" s="13">
        <v>325.5</v>
      </c>
      <c r="F103" s="16">
        <f>325/0.73</f>
        <v>445.20547945205482</v>
      </c>
    </row>
    <row r="104" spans="1:6" ht="15" customHeight="1" x14ac:dyDescent="0.2">
      <c r="A104" s="10" t="s">
        <v>93</v>
      </c>
      <c r="B104" s="11" t="s">
        <v>98</v>
      </c>
      <c r="C104" s="11"/>
      <c r="D104" s="12">
        <v>4800</v>
      </c>
      <c r="E104" s="13">
        <v>400</v>
      </c>
      <c r="F104" s="16">
        <f>263/0.67</f>
        <v>392.53731343283579</v>
      </c>
    </row>
    <row r="105" spans="1:6" ht="15" customHeight="1" x14ac:dyDescent="0.2">
      <c r="A105" s="10" t="s">
        <v>93</v>
      </c>
      <c r="B105" s="11" t="s">
        <v>76</v>
      </c>
      <c r="C105" s="11"/>
      <c r="D105" s="12">
        <v>3600</v>
      </c>
      <c r="E105" s="13">
        <v>400</v>
      </c>
      <c r="F105" s="16">
        <f>985/1.08</f>
        <v>912.03703703703695</v>
      </c>
    </row>
    <row r="106" spans="1:6" ht="15" customHeight="1" x14ac:dyDescent="0.2">
      <c r="A106" s="10" t="s">
        <v>99</v>
      </c>
      <c r="B106" s="11" t="s">
        <v>34</v>
      </c>
      <c r="C106" s="11"/>
      <c r="D106" s="12">
        <v>2400</v>
      </c>
      <c r="E106" s="13">
        <v>400</v>
      </c>
      <c r="F106" s="16">
        <f>150/0.41</f>
        <v>365.85365853658539</v>
      </c>
    </row>
    <row r="107" spans="1:6" ht="15" customHeight="1" x14ac:dyDescent="0.2">
      <c r="A107" s="10" t="s">
        <v>93</v>
      </c>
      <c r="B107" s="11" t="s">
        <v>100</v>
      </c>
      <c r="C107" s="11"/>
      <c r="D107" s="12">
        <v>1615</v>
      </c>
      <c r="E107" s="13">
        <v>268.75</v>
      </c>
      <c r="F107" s="16">
        <f>100/0.42</f>
        <v>238.0952380952381</v>
      </c>
    </row>
    <row r="108" spans="1:6" ht="15" customHeight="1" x14ac:dyDescent="0.2">
      <c r="A108" s="10" t="s">
        <v>93</v>
      </c>
      <c r="B108" s="11" t="s">
        <v>101</v>
      </c>
      <c r="C108" s="11"/>
      <c r="D108" s="12">
        <v>2800</v>
      </c>
      <c r="E108" s="13">
        <v>400</v>
      </c>
      <c r="F108" s="16">
        <f>125/0.73</f>
        <v>171.23287671232876</v>
      </c>
    </row>
    <row r="109" spans="1:6" ht="15" customHeight="1" x14ac:dyDescent="0.2">
      <c r="A109" s="10" t="s">
        <v>93</v>
      </c>
      <c r="B109" s="11" t="s">
        <v>102</v>
      </c>
      <c r="C109" s="11"/>
      <c r="D109" s="12">
        <v>3910</v>
      </c>
      <c r="E109" s="13">
        <v>325.5</v>
      </c>
      <c r="F109" s="16">
        <f>325/0.73</f>
        <v>445.20547945205482</v>
      </c>
    </row>
    <row r="110" spans="1:6" ht="15" customHeight="1" x14ac:dyDescent="0.2">
      <c r="A110" s="10" t="s">
        <v>93</v>
      </c>
      <c r="B110" s="11" t="s">
        <v>103</v>
      </c>
      <c r="C110" s="11"/>
      <c r="D110" s="12">
        <v>2400</v>
      </c>
      <c r="E110" s="13">
        <v>400</v>
      </c>
      <c r="F110" s="16">
        <f>985/0.79</f>
        <v>1246.8354430379745</v>
      </c>
    </row>
    <row r="111" spans="1:6" ht="15" customHeight="1" thickBot="1" x14ac:dyDescent="0.25">
      <c r="A111" s="10" t="s">
        <v>93</v>
      </c>
      <c r="B111" s="11" t="s">
        <v>104</v>
      </c>
      <c r="C111" s="11"/>
      <c r="D111" s="12">
        <v>2400</v>
      </c>
      <c r="E111" s="13">
        <v>400</v>
      </c>
      <c r="F111" s="16">
        <f>50/0.66</f>
        <v>75.757575757575751</v>
      </c>
    </row>
    <row r="112" spans="1:6" ht="15" customHeight="1" x14ac:dyDescent="0.2">
      <c r="A112" s="3" t="s">
        <v>105</v>
      </c>
      <c r="B112" s="4"/>
      <c r="C112" s="4"/>
      <c r="D112" s="5"/>
      <c r="E112" s="5"/>
      <c r="F112" s="15"/>
    </row>
    <row r="113" spans="1:6" ht="15" customHeight="1" thickBot="1" x14ac:dyDescent="0.25">
      <c r="A113" s="10" t="s">
        <v>105</v>
      </c>
      <c r="B113" s="11" t="s">
        <v>7</v>
      </c>
      <c r="C113" s="11"/>
      <c r="D113" s="12">
        <v>1430</v>
      </c>
      <c r="E113" s="13">
        <v>425.25</v>
      </c>
      <c r="F113" s="16">
        <f>200/0.7</f>
        <v>285.71428571428572</v>
      </c>
    </row>
    <row r="114" spans="1:6" ht="15" customHeight="1" x14ac:dyDescent="0.2">
      <c r="A114" s="3" t="s">
        <v>106</v>
      </c>
      <c r="B114" s="4"/>
      <c r="C114" s="4"/>
      <c r="D114" s="5"/>
      <c r="E114" s="5"/>
      <c r="F114" s="15"/>
    </row>
    <row r="115" spans="1:6" ht="15" customHeight="1" thickBot="1" x14ac:dyDescent="0.25">
      <c r="A115" s="10" t="s">
        <v>106</v>
      </c>
      <c r="B115" s="11"/>
      <c r="C115" s="11" t="s">
        <v>86</v>
      </c>
      <c r="D115" s="12">
        <v>835</v>
      </c>
      <c r="E115" s="13">
        <v>750</v>
      </c>
      <c r="F115" s="16"/>
    </row>
    <row r="116" spans="1:6" ht="15" customHeight="1" x14ac:dyDescent="0.2">
      <c r="A116" s="3" t="s">
        <v>107</v>
      </c>
      <c r="B116" s="4"/>
      <c r="C116" s="4"/>
      <c r="D116" s="5"/>
      <c r="E116" s="5"/>
      <c r="F116" s="15"/>
    </row>
    <row r="117" spans="1:6" ht="15" customHeight="1" thickBot="1" x14ac:dyDescent="0.25">
      <c r="A117" s="10" t="s">
        <v>107</v>
      </c>
      <c r="B117" s="11"/>
      <c r="C117" s="11" t="s">
        <v>86</v>
      </c>
      <c r="D117" s="12">
        <v>750</v>
      </c>
      <c r="E117" s="13">
        <v>750</v>
      </c>
      <c r="F117" s="16"/>
    </row>
    <row r="118" spans="1:6" ht="15" customHeight="1" x14ac:dyDescent="0.2">
      <c r="A118" s="3" t="s">
        <v>108</v>
      </c>
      <c r="B118" s="4"/>
      <c r="C118" s="4"/>
      <c r="D118" s="5"/>
      <c r="E118" s="5"/>
      <c r="F118" s="15"/>
    </row>
    <row r="119" spans="1:6" ht="15" customHeight="1" thickBot="1" x14ac:dyDescent="0.25">
      <c r="A119" s="10" t="s">
        <v>108</v>
      </c>
      <c r="B119" s="11" t="s">
        <v>62</v>
      </c>
      <c r="C119" s="11"/>
      <c r="D119" s="12">
        <v>6510</v>
      </c>
      <c r="E119" s="13">
        <v>400</v>
      </c>
      <c r="F119" s="16">
        <f>985/0.61</f>
        <v>1614.7540983606557</v>
      </c>
    </row>
    <row r="120" spans="1:6" ht="15" customHeight="1" x14ac:dyDescent="0.2">
      <c r="A120" s="3" t="s">
        <v>109</v>
      </c>
      <c r="B120" s="4"/>
      <c r="C120" s="4"/>
      <c r="D120" s="5"/>
      <c r="E120" s="5"/>
      <c r="F120" s="15"/>
    </row>
    <row r="121" spans="1:6" ht="15" customHeight="1" x14ac:dyDescent="0.2">
      <c r="A121" s="10" t="s">
        <v>109</v>
      </c>
      <c r="B121" s="11" t="s">
        <v>110</v>
      </c>
      <c r="C121" s="11"/>
      <c r="D121" s="12">
        <v>400</v>
      </c>
      <c r="E121" s="13">
        <v>400</v>
      </c>
      <c r="F121" s="16">
        <f>985/2.25</f>
        <v>437.77777777777777</v>
      </c>
    </row>
    <row r="122" spans="1:6" ht="15" customHeight="1" thickBot="1" x14ac:dyDescent="0.25">
      <c r="A122" s="10" t="s">
        <v>109</v>
      </c>
      <c r="B122" s="11" t="s">
        <v>111</v>
      </c>
      <c r="C122" s="11"/>
      <c r="D122" s="12">
        <v>743</v>
      </c>
      <c r="E122" s="13">
        <v>743</v>
      </c>
      <c r="F122" s="16">
        <f>985/1.13</f>
        <v>871.68141592920358</v>
      </c>
    </row>
    <row r="123" spans="1:6" ht="15" customHeight="1" x14ac:dyDescent="0.2">
      <c r="A123" s="3" t="s">
        <v>112</v>
      </c>
      <c r="B123" s="4"/>
      <c r="C123" s="4"/>
      <c r="D123" s="5"/>
      <c r="E123" s="5"/>
      <c r="F123" s="15"/>
    </row>
    <row r="124" spans="1:6" ht="15" customHeight="1" x14ac:dyDescent="0.2">
      <c r="A124" s="10" t="s">
        <v>112</v>
      </c>
      <c r="B124" s="11" t="s">
        <v>7</v>
      </c>
      <c r="C124" s="11"/>
      <c r="D124" s="12">
        <v>1425</v>
      </c>
      <c r="E124" s="13">
        <v>425.25</v>
      </c>
      <c r="F124" s="16">
        <f>200/0.7</f>
        <v>285.71428571428572</v>
      </c>
    </row>
    <row r="125" spans="1:6" ht="15" customHeight="1" thickBot="1" x14ac:dyDescent="0.25">
      <c r="A125" s="10" t="s">
        <v>112</v>
      </c>
      <c r="B125" s="11" t="s">
        <v>51</v>
      </c>
      <c r="C125" s="11"/>
      <c r="D125" s="12">
        <v>602</v>
      </c>
      <c r="E125" s="13">
        <v>602</v>
      </c>
      <c r="F125" s="16">
        <f>150/0.46</f>
        <v>326.08695652173913</v>
      </c>
    </row>
    <row r="126" spans="1:6" ht="15" customHeight="1" x14ac:dyDescent="0.2">
      <c r="A126" s="3" t="s">
        <v>113</v>
      </c>
      <c r="B126" s="4"/>
      <c r="C126" s="4"/>
      <c r="D126" s="5"/>
      <c r="E126" s="5"/>
      <c r="F126" s="15"/>
    </row>
    <row r="127" spans="1:6" ht="15" customHeight="1" thickBot="1" x14ac:dyDescent="0.25">
      <c r="A127" s="10" t="s">
        <v>113</v>
      </c>
      <c r="B127" s="11" t="s">
        <v>28</v>
      </c>
      <c r="C127" s="11"/>
      <c r="D127" s="12">
        <v>275</v>
      </c>
      <c r="E127" s="13">
        <v>275</v>
      </c>
      <c r="F127" s="16">
        <f>475/1.5</f>
        <v>316.66666666666669</v>
      </c>
    </row>
    <row r="128" spans="1:6" ht="15" customHeight="1" x14ac:dyDescent="0.2">
      <c r="A128" s="3" t="s">
        <v>114</v>
      </c>
      <c r="B128" s="4"/>
      <c r="C128" s="4"/>
      <c r="D128" s="5"/>
      <c r="E128" s="5"/>
      <c r="F128" s="15"/>
    </row>
    <row r="129" spans="1:6" ht="15" customHeight="1" thickBot="1" x14ac:dyDescent="0.25">
      <c r="A129" s="10" t="s">
        <v>114</v>
      </c>
      <c r="B129" s="11"/>
      <c r="C129" s="11" t="s">
        <v>115</v>
      </c>
      <c r="D129" s="12">
        <v>490</v>
      </c>
      <c r="E129" s="13">
        <v>375</v>
      </c>
      <c r="F129" s="16"/>
    </row>
    <row r="130" spans="1:6" ht="15" customHeight="1" x14ac:dyDescent="0.2">
      <c r="A130" s="3" t="s">
        <v>116</v>
      </c>
      <c r="B130" s="4"/>
      <c r="C130" s="4"/>
      <c r="D130" s="5"/>
      <c r="E130" s="5"/>
      <c r="F130" s="15"/>
    </row>
    <row r="131" spans="1:6" ht="15" customHeight="1" thickBot="1" x14ac:dyDescent="0.25">
      <c r="A131" s="10" t="s">
        <v>116</v>
      </c>
      <c r="B131" s="11"/>
      <c r="C131" s="11" t="s">
        <v>47</v>
      </c>
      <c r="D131" s="12">
        <v>6260</v>
      </c>
      <c r="E131" s="13">
        <v>375</v>
      </c>
      <c r="F131" s="16"/>
    </row>
    <row r="132" spans="1:6" ht="15" customHeight="1" x14ac:dyDescent="0.2">
      <c r="A132" s="3" t="s">
        <v>117</v>
      </c>
      <c r="B132" s="4"/>
      <c r="C132" s="4"/>
      <c r="D132" s="5"/>
      <c r="E132" s="5"/>
      <c r="F132" s="15"/>
    </row>
    <row r="133" spans="1:6" ht="15" customHeight="1" x14ac:dyDescent="0.2">
      <c r="A133" s="10" t="s">
        <v>117</v>
      </c>
      <c r="B133" s="11" t="s">
        <v>8</v>
      </c>
      <c r="C133" s="11"/>
      <c r="D133" s="12">
        <v>3010</v>
      </c>
      <c r="E133" s="13">
        <v>307.5</v>
      </c>
      <c r="F133" s="16">
        <f>220/0.95</f>
        <v>231.57894736842107</v>
      </c>
    </row>
    <row r="134" spans="1:6" ht="15" customHeight="1" thickBot="1" x14ac:dyDescent="0.25">
      <c r="A134" s="10" t="s">
        <v>117</v>
      </c>
      <c r="B134" s="11" t="s">
        <v>118</v>
      </c>
      <c r="C134" s="11"/>
      <c r="D134" s="12">
        <v>800</v>
      </c>
      <c r="E134" s="13">
        <v>400</v>
      </c>
      <c r="F134" s="16">
        <f>985/0.48</f>
        <v>2052.0833333333335</v>
      </c>
    </row>
    <row r="135" spans="1:6" ht="15" customHeight="1" x14ac:dyDescent="0.2">
      <c r="A135" s="3" t="s">
        <v>119</v>
      </c>
      <c r="B135" s="4"/>
      <c r="C135" s="4"/>
      <c r="D135" s="5"/>
      <c r="E135" s="5"/>
      <c r="F135" s="15"/>
    </row>
    <row r="136" spans="1:6" ht="15" customHeight="1" x14ac:dyDescent="0.2">
      <c r="A136" s="10" t="s">
        <v>119</v>
      </c>
      <c r="B136" s="11" t="s">
        <v>36</v>
      </c>
      <c r="C136" s="11"/>
      <c r="D136" s="12">
        <v>1300</v>
      </c>
      <c r="E136" s="13">
        <v>337.5</v>
      </c>
      <c r="F136" s="16">
        <f>540/0.86</f>
        <v>627.90697674418607</v>
      </c>
    </row>
    <row r="137" spans="1:6" ht="15" customHeight="1" thickBot="1" x14ac:dyDescent="0.25">
      <c r="A137" s="10" t="s">
        <v>119</v>
      </c>
      <c r="B137" s="11" t="s">
        <v>120</v>
      </c>
      <c r="C137" s="11"/>
      <c r="D137" s="12">
        <v>600</v>
      </c>
      <c r="E137" s="13">
        <v>300</v>
      </c>
      <c r="F137" s="16">
        <f>540/0.86</f>
        <v>627.90697674418607</v>
      </c>
    </row>
    <row r="138" spans="1:6" ht="15" customHeight="1" x14ac:dyDescent="0.2">
      <c r="A138" s="3" t="s">
        <v>121</v>
      </c>
      <c r="B138" s="4"/>
      <c r="C138" s="4"/>
      <c r="D138" s="5"/>
      <c r="E138" s="5"/>
      <c r="F138" s="15"/>
    </row>
    <row r="139" spans="1:6" ht="15" customHeight="1" thickBot="1" x14ac:dyDescent="0.25">
      <c r="A139" s="10" t="s">
        <v>121</v>
      </c>
      <c r="B139" s="11" t="s">
        <v>122</v>
      </c>
      <c r="C139" s="11"/>
      <c r="D139" s="12">
        <v>718</v>
      </c>
      <c r="E139" s="13">
        <v>717.5</v>
      </c>
      <c r="F139" s="16">
        <f>250/0.7</f>
        <v>357.14285714285717</v>
      </c>
    </row>
    <row r="140" spans="1:6" ht="15" customHeight="1" x14ac:dyDescent="0.2">
      <c r="A140" s="3" t="s">
        <v>123</v>
      </c>
      <c r="B140" s="4"/>
      <c r="C140" s="4"/>
      <c r="D140" s="5"/>
      <c r="E140" s="5"/>
      <c r="F140" s="15"/>
    </row>
    <row r="141" spans="1:6" ht="15" customHeight="1" x14ac:dyDescent="0.2">
      <c r="A141" s="10" t="s">
        <v>123</v>
      </c>
      <c r="B141" s="11" t="s">
        <v>124</v>
      </c>
      <c r="C141" s="11"/>
      <c r="D141" s="12">
        <v>2350</v>
      </c>
      <c r="E141" s="13">
        <v>336</v>
      </c>
      <c r="F141" s="16">
        <f>150/0.46</f>
        <v>326.08695652173913</v>
      </c>
    </row>
    <row r="142" spans="1:6" ht="15" customHeight="1" x14ac:dyDescent="0.2">
      <c r="A142" s="10" t="s">
        <v>123</v>
      </c>
      <c r="B142" s="11" t="s">
        <v>125</v>
      </c>
      <c r="C142" s="11"/>
      <c r="D142" s="12">
        <v>6000</v>
      </c>
      <c r="E142" s="13">
        <v>400</v>
      </c>
      <c r="F142" s="16">
        <f>320/0.81</f>
        <v>395.06172839506172</v>
      </c>
    </row>
    <row r="143" spans="1:6" ht="15" customHeight="1" x14ac:dyDescent="0.2">
      <c r="A143" s="10" t="s">
        <v>123</v>
      </c>
      <c r="B143" s="11" t="s">
        <v>126</v>
      </c>
      <c r="C143" s="11"/>
      <c r="D143" s="12">
        <v>6480</v>
      </c>
      <c r="E143" s="13">
        <v>432</v>
      </c>
      <c r="F143" s="16">
        <v>0</v>
      </c>
    </row>
    <row r="144" spans="1:6" ht="15" customHeight="1" x14ac:dyDescent="0.2">
      <c r="A144" s="10" t="s">
        <v>123</v>
      </c>
      <c r="B144" s="11" t="s">
        <v>127</v>
      </c>
      <c r="C144" s="11"/>
      <c r="D144" s="12">
        <v>1680</v>
      </c>
      <c r="E144" s="13">
        <v>336</v>
      </c>
      <c r="F144" s="16">
        <f>150/0.48</f>
        <v>312.5</v>
      </c>
    </row>
    <row r="145" spans="1:6" ht="15" customHeight="1" x14ac:dyDescent="0.2">
      <c r="A145" s="10" t="s">
        <v>123</v>
      </c>
      <c r="B145" s="11" t="s">
        <v>128</v>
      </c>
      <c r="C145" s="11"/>
      <c r="D145" s="12">
        <v>2160</v>
      </c>
      <c r="E145" s="13">
        <v>432</v>
      </c>
      <c r="F145" s="16">
        <f>300/0.35</f>
        <v>857.14285714285722</v>
      </c>
    </row>
    <row r="146" spans="1:6" ht="15" customHeight="1" x14ac:dyDescent="0.2">
      <c r="A146" s="10" t="s">
        <v>123</v>
      </c>
      <c r="B146" s="11" t="s">
        <v>129</v>
      </c>
      <c r="C146" s="11"/>
      <c r="D146" s="12">
        <v>2155</v>
      </c>
      <c r="E146" s="13">
        <v>431</v>
      </c>
      <c r="F146" s="16">
        <f>364/0.88</f>
        <v>413.63636363636363</v>
      </c>
    </row>
    <row r="147" spans="1:6" ht="15" customHeight="1" x14ac:dyDescent="0.2">
      <c r="A147" s="10" t="s">
        <v>123</v>
      </c>
      <c r="B147" s="11" t="s">
        <v>130</v>
      </c>
      <c r="C147" s="11"/>
      <c r="D147" s="12">
        <v>4000</v>
      </c>
      <c r="E147" s="13">
        <v>400</v>
      </c>
      <c r="F147" s="16">
        <f>100/0.64</f>
        <v>156.25</v>
      </c>
    </row>
    <row r="148" spans="1:6" ht="15" customHeight="1" thickBot="1" x14ac:dyDescent="0.25">
      <c r="A148" s="10" t="s">
        <v>123</v>
      </c>
      <c r="B148" s="11"/>
      <c r="C148" s="11" t="s">
        <v>131</v>
      </c>
      <c r="D148" s="12">
        <v>5805</v>
      </c>
      <c r="E148" s="13">
        <v>750</v>
      </c>
      <c r="F148" s="16"/>
    </row>
    <row r="149" spans="1:6" ht="15" customHeight="1" x14ac:dyDescent="0.2">
      <c r="A149" s="3" t="s">
        <v>132</v>
      </c>
      <c r="B149" s="4"/>
      <c r="C149" s="4"/>
      <c r="D149" s="5"/>
      <c r="E149" s="5"/>
      <c r="F149" s="15"/>
    </row>
    <row r="150" spans="1:6" ht="15" customHeight="1" x14ac:dyDescent="0.2">
      <c r="A150" s="10" t="s">
        <v>132</v>
      </c>
      <c r="B150" s="11" t="s">
        <v>95</v>
      </c>
      <c r="C150" s="11"/>
      <c r="D150" s="12">
        <v>800</v>
      </c>
      <c r="E150" s="13">
        <v>400</v>
      </c>
      <c r="F150" s="16">
        <f>50/1.13</f>
        <v>44.247787610619476</v>
      </c>
    </row>
    <row r="151" spans="1:6" ht="15" customHeight="1" thickBot="1" x14ac:dyDescent="0.25">
      <c r="A151" s="10" t="s">
        <v>132</v>
      </c>
      <c r="B151" s="11"/>
      <c r="C151" s="11" t="s">
        <v>133</v>
      </c>
      <c r="D151" s="12">
        <v>1250</v>
      </c>
      <c r="E151" s="13">
        <v>750</v>
      </c>
      <c r="F151" s="16"/>
    </row>
    <row r="152" spans="1:6" ht="15" customHeight="1" x14ac:dyDescent="0.2">
      <c r="A152" s="3" t="s">
        <v>134</v>
      </c>
      <c r="B152" s="4"/>
      <c r="C152" s="4"/>
      <c r="D152" s="5"/>
      <c r="E152" s="5"/>
      <c r="F152" s="15"/>
    </row>
    <row r="153" spans="1:6" ht="15" customHeight="1" thickBot="1" x14ac:dyDescent="0.25">
      <c r="A153" s="10" t="s">
        <v>134</v>
      </c>
      <c r="B153" s="11" t="s">
        <v>135</v>
      </c>
      <c r="C153" s="11"/>
      <c r="D153" s="12">
        <v>0</v>
      </c>
      <c r="E153" s="13">
        <v>400</v>
      </c>
      <c r="F153" s="16">
        <f>985/1.78</f>
        <v>553.37078651685397</v>
      </c>
    </row>
    <row r="154" spans="1:6" ht="15" customHeight="1" x14ac:dyDescent="0.2">
      <c r="A154" s="3" t="s">
        <v>136</v>
      </c>
      <c r="B154" s="4"/>
      <c r="C154" s="4"/>
      <c r="D154" s="5"/>
      <c r="E154" s="5"/>
      <c r="F154" s="15"/>
    </row>
    <row r="155" spans="1:6" ht="15" customHeight="1" thickBot="1" x14ac:dyDescent="0.25">
      <c r="A155" s="10" t="s">
        <v>136</v>
      </c>
      <c r="B155" s="11" t="s">
        <v>80</v>
      </c>
      <c r="C155" s="11"/>
      <c r="D155" s="12">
        <v>400</v>
      </c>
      <c r="E155" s="13">
        <v>400</v>
      </c>
      <c r="F155" s="16">
        <f>399/1.14</f>
        <v>350.00000000000006</v>
      </c>
    </row>
    <row r="156" spans="1:6" ht="15" customHeight="1" x14ac:dyDescent="0.2">
      <c r="A156" s="3" t="s">
        <v>137</v>
      </c>
      <c r="B156" s="4"/>
      <c r="C156" s="4"/>
      <c r="D156" s="5"/>
      <c r="E156" s="5"/>
      <c r="F156" s="15"/>
    </row>
    <row r="157" spans="1:6" ht="15" customHeight="1" thickBot="1" x14ac:dyDescent="0.25">
      <c r="A157" s="10" t="s">
        <v>137</v>
      </c>
      <c r="B157" s="11"/>
      <c r="C157" s="11" t="s">
        <v>133</v>
      </c>
      <c r="D157" s="12">
        <v>750</v>
      </c>
      <c r="E157" s="13">
        <v>750</v>
      </c>
      <c r="F157" s="16"/>
    </row>
    <row r="158" spans="1:6" ht="15" customHeight="1" x14ac:dyDescent="0.2">
      <c r="A158" s="3" t="s">
        <v>138</v>
      </c>
      <c r="B158" s="4"/>
      <c r="C158" s="4"/>
      <c r="D158" s="5"/>
      <c r="E158" s="5"/>
      <c r="F158" s="15"/>
    </row>
    <row r="159" spans="1:6" ht="15" customHeight="1" thickBot="1" x14ac:dyDescent="0.25">
      <c r="A159" s="10" t="s">
        <v>138</v>
      </c>
      <c r="B159" s="11" t="s">
        <v>139</v>
      </c>
      <c r="C159" s="11"/>
      <c r="D159" s="12">
        <v>1385</v>
      </c>
      <c r="E159" s="13">
        <v>400</v>
      </c>
      <c r="F159" s="16">
        <f>985/2.67</f>
        <v>368.91385767790263</v>
      </c>
    </row>
    <row r="160" spans="1:6" ht="15" customHeight="1" x14ac:dyDescent="0.2">
      <c r="A160" s="3" t="s">
        <v>140</v>
      </c>
      <c r="B160" s="4"/>
      <c r="C160" s="4"/>
      <c r="D160" s="5"/>
      <c r="E160" s="5"/>
      <c r="F160" s="15"/>
    </row>
    <row r="161" spans="1:6" ht="15" customHeight="1" thickBot="1" x14ac:dyDescent="0.25">
      <c r="A161" s="10" t="s">
        <v>140</v>
      </c>
      <c r="B161" s="11" t="s">
        <v>83</v>
      </c>
      <c r="C161" s="11"/>
      <c r="D161" s="12">
        <v>450</v>
      </c>
      <c r="E161" s="13">
        <v>400</v>
      </c>
      <c r="F161" s="16">
        <f>299/0.84</f>
        <v>355.95238095238096</v>
      </c>
    </row>
    <row r="162" spans="1:6" ht="15" customHeight="1" x14ac:dyDescent="0.2">
      <c r="A162" s="3" t="s">
        <v>141</v>
      </c>
      <c r="B162" s="4"/>
      <c r="C162" s="4"/>
      <c r="D162" s="5"/>
      <c r="E162" s="5"/>
      <c r="F162" s="15"/>
    </row>
    <row r="163" spans="1:6" ht="15" customHeight="1" thickBot="1" x14ac:dyDescent="0.25">
      <c r="A163" s="10" t="s">
        <v>141</v>
      </c>
      <c r="B163" s="11"/>
      <c r="C163" s="11" t="s">
        <v>86</v>
      </c>
      <c r="D163" s="12">
        <v>750</v>
      </c>
      <c r="E163" s="13">
        <v>750</v>
      </c>
      <c r="F163" s="16"/>
    </row>
    <row r="164" spans="1:6" ht="15" customHeight="1" x14ac:dyDescent="0.2">
      <c r="A164" s="3" t="s">
        <v>142</v>
      </c>
      <c r="B164" s="4"/>
      <c r="C164" s="4"/>
      <c r="D164" s="5"/>
      <c r="E164" s="5"/>
      <c r="F164" s="15"/>
    </row>
    <row r="165" spans="1:6" ht="15" customHeight="1" thickBot="1" x14ac:dyDescent="0.25">
      <c r="A165" s="10" t="s">
        <v>142</v>
      </c>
      <c r="B165" s="11"/>
      <c r="C165" s="11" t="s">
        <v>115</v>
      </c>
      <c r="D165" s="12">
        <v>6235</v>
      </c>
      <c r="E165" s="13">
        <v>375</v>
      </c>
      <c r="F165" s="16"/>
    </row>
    <row r="166" spans="1:6" ht="15" customHeight="1" x14ac:dyDescent="0.2">
      <c r="A166" s="3" t="s">
        <v>143</v>
      </c>
      <c r="B166" s="4"/>
      <c r="C166" s="4"/>
      <c r="D166" s="5"/>
      <c r="E166" s="5"/>
      <c r="F166" s="15"/>
    </row>
    <row r="167" spans="1:6" ht="15" customHeight="1" thickBot="1" x14ac:dyDescent="0.25">
      <c r="A167" s="10" t="s">
        <v>143</v>
      </c>
      <c r="B167" s="11" t="s">
        <v>28</v>
      </c>
      <c r="C167" s="11"/>
      <c r="D167" s="12">
        <v>1900</v>
      </c>
      <c r="E167" s="13">
        <v>275</v>
      </c>
      <c r="F167" s="16">
        <f>475/1.5</f>
        <v>316.66666666666669</v>
      </c>
    </row>
    <row r="168" spans="1:6" ht="15" customHeight="1" x14ac:dyDescent="0.2">
      <c r="A168" s="3" t="s">
        <v>144</v>
      </c>
      <c r="B168" s="4"/>
      <c r="C168" s="4"/>
      <c r="D168" s="5"/>
      <c r="E168" s="5"/>
      <c r="F168" s="15"/>
    </row>
    <row r="169" spans="1:6" ht="15" customHeight="1" thickBot="1" x14ac:dyDescent="0.25">
      <c r="A169" s="10" t="s">
        <v>144</v>
      </c>
      <c r="B169" s="11" t="s">
        <v>145</v>
      </c>
      <c r="C169" s="11"/>
      <c r="D169" s="12">
        <v>8540</v>
      </c>
      <c r="E169" s="13">
        <v>400</v>
      </c>
      <c r="F169" s="16">
        <f>328/0.74</f>
        <v>443.24324324324323</v>
      </c>
    </row>
    <row r="170" spans="1:6" ht="15" customHeight="1" x14ac:dyDescent="0.2">
      <c r="A170" s="3" t="s">
        <v>146</v>
      </c>
      <c r="B170" s="4"/>
      <c r="C170" s="4"/>
      <c r="D170" s="5"/>
      <c r="E170" s="5"/>
      <c r="F170" s="15"/>
    </row>
    <row r="171" spans="1:6" ht="15" customHeight="1" thickBot="1" x14ac:dyDescent="0.25">
      <c r="A171" s="10" t="s">
        <v>146</v>
      </c>
      <c r="B171" s="11" t="s">
        <v>28</v>
      </c>
      <c r="C171" s="11"/>
      <c r="D171" s="12">
        <v>805</v>
      </c>
      <c r="E171" s="13">
        <v>275</v>
      </c>
      <c r="F171" s="16">
        <f>475/1.5</f>
        <v>316.66666666666669</v>
      </c>
    </row>
    <row r="172" spans="1:6" ht="15" customHeight="1" x14ac:dyDescent="0.2">
      <c r="A172" s="3" t="s">
        <v>147</v>
      </c>
      <c r="B172" s="4"/>
      <c r="C172" s="4"/>
      <c r="D172" s="5"/>
      <c r="E172" s="5"/>
      <c r="F172" s="15"/>
    </row>
    <row r="173" spans="1:6" ht="15" customHeight="1" thickBot="1" x14ac:dyDescent="0.25">
      <c r="A173" s="10" t="s">
        <v>147</v>
      </c>
      <c r="B173" s="11" t="s">
        <v>148</v>
      </c>
      <c r="C173" s="11"/>
      <c r="D173" s="12">
        <v>353</v>
      </c>
      <c r="E173" s="13">
        <v>353.25</v>
      </c>
      <c r="F173" s="16">
        <f>343/1.49</f>
        <v>230.20134228187919</v>
      </c>
    </row>
    <row r="174" spans="1:6" ht="15" customHeight="1" x14ac:dyDescent="0.2">
      <c r="A174" s="3" t="s">
        <v>149</v>
      </c>
      <c r="B174" s="4"/>
      <c r="C174" s="4"/>
      <c r="D174" s="5"/>
      <c r="E174" s="5"/>
      <c r="F174" s="15"/>
    </row>
    <row r="175" spans="1:6" ht="15" customHeight="1" x14ac:dyDescent="0.2">
      <c r="A175" s="10" t="s">
        <v>149</v>
      </c>
      <c r="B175" s="11" t="s">
        <v>150</v>
      </c>
      <c r="C175" s="11"/>
      <c r="D175" s="12">
        <v>6300</v>
      </c>
      <c r="E175" s="13">
        <v>350</v>
      </c>
      <c r="F175" s="16">
        <f>250/1.66</f>
        <v>150.60240963855424</v>
      </c>
    </row>
    <row r="176" spans="1:6" ht="15" customHeight="1" thickBot="1" x14ac:dyDescent="0.25">
      <c r="A176" s="10" t="s">
        <v>149</v>
      </c>
      <c r="B176" s="11"/>
      <c r="C176" s="11" t="s">
        <v>151</v>
      </c>
      <c r="D176" s="12">
        <v>16980</v>
      </c>
      <c r="E176" s="13">
        <v>750</v>
      </c>
      <c r="F176" s="16"/>
    </row>
    <row r="177" spans="1:6" ht="15" customHeight="1" x14ac:dyDescent="0.2">
      <c r="A177" s="3" t="s">
        <v>152</v>
      </c>
      <c r="B177" s="4"/>
      <c r="C177" s="4"/>
      <c r="D177" s="5"/>
      <c r="E177" s="5"/>
      <c r="F177" s="15"/>
    </row>
    <row r="178" spans="1:6" ht="15" customHeight="1" thickBot="1" x14ac:dyDescent="0.25">
      <c r="A178" s="10" t="s">
        <v>152</v>
      </c>
      <c r="B178" s="11" t="s">
        <v>153</v>
      </c>
      <c r="C178" s="11"/>
      <c r="D178" s="12">
        <v>400</v>
      </c>
      <c r="E178" s="13">
        <v>400</v>
      </c>
      <c r="F178" s="16">
        <f>985/3.64</f>
        <v>270.60439560439562</v>
      </c>
    </row>
    <row r="179" spans="1:6" ht="15" customHeight="1" x14ac:dyDescent="0.2">
      <c r="A179" s="3" t="s">
        <v>154</v>
      </c>
      <c r="B179" s="4"/>
      <c r="C179" s="4"/>
      <c r="D179" s="5"/>
      <c r="E179" s="5"/>
      <c r="F179" s="15"/>
    </row>
    <row r="180" spans="1:6" ht="15" customHeight="1" thickBot="1" x14ac:dyDescent="0.25">
      <c r="A180" s="10" t="s">
        <v>154</v>
      </c>
      <c r="B180" s="11" t="s">
        <v>155</v>
      </c>
      <c r="C180" s="11"/>
      <c r="D180" s="12">
        <v>4900</v>
      </c>
      <c r="E180" s="13">
        <v>441</v>
      </c>
      <c r="F180" s="16">
        <f>240/0.6</f>
        <v>400</v>
      </c>
    </row>
    <row r="181" spans="1:6" ht="15" customHeight="1" x14ac:dyDescent="0.2">
      <c r="A181" s="3" t="s">
        <v>156</v>
      </c>
      <c r="B181" s="4"/>
      <c r="C181" s="4"/>
      <c r="D181" s="5"/>
      <c r="E181" s="5"/>
      <c r="F181" s="15"/>
    </row>
    <row r="182" spans="1:6" ht="15" customHeight="1" x14ac:dyDescent="0.2">
      <c r="A182" s="10" t="s">
        <v>156</v>
      </c>
      <c r="B182" s="11" t="s">
        <v>157</v>
      </c>
      <c r="C182" s="11"/>
      <c r="D182" s="12">
        <v>400</v>
      </c>
      <c r="E182" s="13">
        <v>240</v>
      </c>
      <c r="F182" s="16">
        <f>90/0.77</f>
        <v>116.88311688311688</v>
      </c>
    </row>
    <row r="183" spans="1:6" ht="15" customHeight="1" thickBot="1" x14ac:dyDescent="0.25">
      <c r="A183" s="10" t="s">
        <v>156</v>
      </c>
      <c r="B183" s="11" t="s">
        <v>9</v>
      </c>
      <c r="C183" s="11"/>
      <c r="D183" s="12">
        <v>480</v>
      </c>
      <c r="E183" s="13">
        <v>400</v>
      </c>
      <c r="F183" s="16">
        <f>365/0.66</f>
        <v>553.030303030303</v>
      </c>
    </row>
    <row r="184" spans="1:6" ht="15" customHeight="1" x14ac:dyDescent="0.2">
      <c r="A184" s="3" t="s">
        <v>158</v>
      </c>
      <c r="B184" s="4"/>
      <c r="C184" s="4"/>
      <c r="D184" s="5"/>
      <c r="E184" s="5"/>
      <c r="F184" s="15"/>
    </row>
    <row r="185" spans="1:6" ht="15" customHeight="1" x14ac:dyDescent="0.2">
      <c r="A185" s="10" t="s">
        <v>158</v>
      </c>
      <c r="B185" s="11" t="s">
        <v>159</v>
      </c>
      <c r="C185" s="11"/>
      <c r="D185" s="12">
        <v>3585</v>
      </c>
      <c r="E185" s="13">
        <v>325.5</v>
      </c>
      <c r="F185" s="16">
        <f>400/0.62</f>
        <v>645.16129032258061</v>
      </c>
    </row>
    <row r="186" spans="1:6" ht="15" customHeight="1" thickBot="1" x14ac:dyDescent="0.25">
      <c r="A186" s="10" t="s">
        <v>158</v>
      </c>
      <c r="B186" s="11" t="s">
        <v>118</v>
      </c>
      <c r="C186" s="11"/>
      <c r="D186" s="12">
        <v>5990</v>
      </c>
      <c r="E186" s="13">
        <v>400</v>
      </c>
      <c r="F186" s="16">
        <f>985/0.48</f>
        <v>2052.0833333333335</v>
      </c>
    </row>
    <row r="187" spans="1:6" ht="15" customHeight="1" x14ac:dyDescent="0.2">
      <c r="A187" s="3" t="s">
        <v>160</v>
      </c>
      <c r="B187" s="4"/>
      <c r="C187" s="4"/>
      <c r="D187" s="5"/>
      <c r="E187" s="5"/>
      <c r="F187" s="15"/>
    </row>
    <row r="188" spans="1:6" ht="15" customHeight="1" thickBot="1" x14ac:dyDescent="0.25">
      <c r="A188" s="10" t="s">
        <v>160</v>
      </c>
      <c r="B188" s="11" t="s">
        <v>161</v>
      </c>
      <c r="C188" s="11"/>
      <c r="D188" s="12">
        <v>3260</v>
      </c>
      <c r="E188" s="13">
        <v>240</v>
      </c>
      <c r="F188" s="16">
        <f>268/1.86</f>
        <v>144.08602150537632</v>
      </c>
    </row>
    <row r="189" spans="1:6" ht="15" customHeight="1" x14ac:dyDescent="0.2">
      <c r="A189" s="3" t="s">
        <v>162</v>
      </c>
      <c r="B189" s="4"/>
      <c r="C189" s="4"/>
      <c r="D189" s="5"/>
      <c r="E189" s="5"/>
      <c r="F189" s="15"/>
    </row>
    <row r="190" spans="1:6" ht="15" customHeight="1" x14ac:dyDescent="0.2">
      <c r="A190" s="10" t="s">
        <v>162</v>
      </c>
      <c r="B190" s="11" t="s">
        <v>163</v>
      </c>
      <c r="C190" s="11"/>
      <c r="D190" s="12">
        <v>2665</v>
      </c>
      <c r="E190" s="13">
        <v>400</v>
      </c>
      <c r="F190" s="16">
        <f>985/1.94</f>
        <v>507.73195876288662</v>
      </c>
    </row>
    <row r="191" spans="1:6" ht="15" customHeight="1" x14ac:dyDescent="0.2">
      <c r="A191" s="10" t="s">
        <v>162</v>
      </c>
      <c r="B191" s="11" t="s">
        <v>164</v>
      </c>
      <c r="C191" s="11"/>
      <c r="D191" s="12">
        <v>2500</v>
      </c>
      <c r="E191" s="13">
        <v>600</v>
      </c>
      <c r="F191" s="16">
        <f>200/0.75</f>
        <v>266.66666666666669</v>
      </c>
    </row>
    <row r="192" spans="1:6" ht="15" customHeight="1" thickBot="1" x14ac:dyDescent="0.25">
      <c r="A192" s="10" t="s">
        <v>162</v>
      </c>
      <c r="B192" s="11" t="s">
        <v>165</v>
      </c>
      <c r="C192" s="11"/>
      <c r="D192" s="12">
        <v>1200</v>
      </c>
      <c r="E192" s="13">
        <v>600</v>
      </c>
      <c r="F192" s="16">
        <f>300/0.53</f>
        <v>566.03773584905662</v>
      </c>
    </row>
    <row r="193" spans="1:6" ht="15" customHeight="1" x14ac:dyDescent="0.2">
      <c r="A193" s="3" t="s">
        <v>166</v>
      </c>
      <c r="B193" s="4"/>
      <c r="C193" s="4"/>
      <c r="D193" s="5"/>
      <c r="E193" s="5"/>
      <c r="F193" s="15"/>
    </row>
    <row r="194" spans="1:6" ht="15" customHeight="1" x14ac:dyDescent="0.2">
      <c r="A194" s="10" t="s">
        <v>166</v>
      </c>
      <c r="B194" s="11" t="s">
        <v>167</v>
      </c>
      <c r="C194" s="11"/>
      <c r="D194" s="12">
        <v>6000</v>
      </c>
      <c r="E194" s="13">
        <v>400</v>
      </c>
      <c r="F194" s="16">
        <f>985/4.2</f>
        <v>234.52380952380952</v>
      </c>
    </row>
    <row r="195" spans="1:6" ht="15" customHeight="1" x14ac:dyDescent="0.2">
      <c r="A195" s="10" t="s">
        <v>166</v>
      </c>
      <c r="B195" s="11" t="s">
        <v>168</v>
      </c>
      <c r="C195" s="11"/>
      <c r="D195" s="12">
        <v>2000</v>
      </c>
      <c r="E195" s="13">
        <v>400</v>
      </c>
      <c r="F195" s="16">
        <f>985/1.47</f>
        <v>670.06802721088434</v>
      </c>
    </row>
    <row r="196" spans="1:6" ht="15" customHeight="1" x14ac:dyDescent="0.2">
      <c r="A196" s="10" t="s">
        <v>166</v>
      </c>
      <c r="B196" s="11" t="s">
        <v>169</v>
      </c>
      <c r="C196" s="11"/>
      <c r="D196" s="12">
        <v>3200</v>
      </c>
      <c r="E196" s="13">
        <v>400</v>
      </c>
      <c r="F196" s="16">
        <f>985/2.74</f>
        <v>359.4890510948905</v>
      </c>
    </row>
    <row r="197" spans="1:6" ht="15" customHeight="1" x14ac:dyDescent="0.2">
      <c r="A197" s="10" t="s">
        <v>166</v>
      </c>
      <c r="B197" s="11" t="s">
        <v>170</v>
      </c>
      <c r="C197" s="11"/>
      <c r="D197" s="12">
        <v>535</v>
      </c>
      <c r="E197" s="13">
        <v>267.5</v>
      </c>
      <c r="F197" s="16">
        <f>321/0.62</f>
        <v>517.74193548387098</v>
      </c>
    </row>
    <row r="198" spans="1:6" ht="15" customHeight="1" x14ac:dyDescent="0.2">
      <c r="A198" s="10" t="s">
        <v>166</v>
      </c>
      <c r="B198" s="11" t="s">
        <v>171</v>
      </c>
      <c r="C198" s="11"/>
      <c r="D198" s="12">
        <v>3900</v>
      </c>
      <c r="E198" s="13">
        <v>390</v>
      </c>
      <c r="F198" s="16">
        <f>295/1.67</f>
        <v>176.64670658682635</v>
      </c>
    </row>
    <row r="199" spans="1:6" ht="15" customHeight="1" x14ac:dyDescent="0.2">
      <c r="A199" s="10" t="s">
        <v>166</v>
      </c>
      <c r="B199" s="11" t="s">
        <v>172</v>
      </c>
      <c r="C199" s="11"/>
      <c r="D199" s="12">
        <v>8000</v>
      </c>
      <c r="E199" s="13">
        <v>400</v>
      </c>
      <c r="F199" s="16">
        <f>985/6.05</f>
        <v>162.80991735537191</v>
      </c>
    </row>
    <row r="200" spans="1:6" ht="15" customHeight="1" x14ac:dyDescent="0.2">
      <c r="A200" s="10" t="s">
        <v>166</v>
      </c>
      <c r="B200" s="11" t="s">
        <v>173</v>
      </c>
      <c r="C200" s="11"/>
      <c r="D200" s="12">
        <v>1960</v>
      </c>
      <c r="E200" s="13">
        <v>265.5</v>
      </c>
      <c r="F200" s="16">
        <f>150/1.04</f>
        <v>144.23076923076923</v>
      </c>
    </row>
    <row r="201" spans="1:6" ht="15" customHeight="1" x14ac:dyDescent="0.2">
      <c r="A201" s="10" t="s">
        <v>166</v>
      </c>
      <c r="B201" s="11" t="s">
        <v>174</v>
      </c>
      <c r="C201" s="11"/>
      <c r="D201" s="12">
        <v>2400</v>
      </c>
      <c r="E201" s="13">
        <v>400</v>
      </c>
      <c r="F201" s="16">
        <f>985/1.73</f>
        <v>569.36416184971097</v>
      </c>
    </row>
    <row r="202" spans="1:6" ht="15" customHeight="1" x14ac:dyDescent="0.2">
      <c r="A202" s="10" t="s">
        <v>166</v>
      </c>
      <c r="B202" s="11" t="s">
        <v>175</v>
      </c>
      <c r="C202" s="11"/>
      <c r="D202" s="12">
        <v>1180</v>
      </c>
      <c r="E202" s="13">
        <v>236.25</v>
      </c>
      <c r="F202" s="16">
        <f>150/0.8</f>
        <v>187.5</v>
      </c>
    </row>
    <row r="203" spans="1:6" ht="15" customHeight="1" x14ac:dyDescent="0.2">
      <c r="A203" s="10" t="s">
        <v>166</v>
      </c>
      <c r="B203" s="11" t="s">
        <v>176</v>
      </c>
      <c r="C203" s="11"/>
      <c r="D203" s="12">
        <v>2000</v>
      </c>
      <c r="E203" s="13">
        <v>400</v>
      </c>
      <c r="F203" s="16">
        <f>985/1.44</f>
        <v>684.02777777777783</v>
      </c>
    </row>
    <row r="204" spans="1:6" ht="15" customHeight="1" x14ac:dyDescent="0.2">
      <c r="A204" s="10" t="s">
        <v>166</v>
      </c>
      <c r="B204" s="11"/>
      <c r="C204" s="11" t="s">
        <v>177</v>
      </c>
      <c r="D204" s="12">
        <v>8660</v>
      </c>
      <c r="E204" s="13">
        <v>750</v>
      </c>
      <c r="F204" s="16"/>
    </row>
    <row r="205" spans="1:6" ht="15" customHeight="1" thickBot="1" x14ac:dyDescent="0.25">
      <c r="A205" s="10" t="s">
        <v>166</v>
      </c>
      <c r="B205" s="11"/>
      <c r="C205" s="11" t="s">
        <v>178</v>
      </c>
      <c r="D205" s="12">
        <v>3500</v>
      </c>
      <c r="E205" s="13">
        <v>750</v>
      </c>
      <c r="F205" s="16"/>
    </row>
    <row r="206" spans="1:6" ht="15" customHeight="1" x14ac:dyDescent="0.2">
      <c r="A206" s="3" t="s">
        <v>179</v>
      </c>
      <c r="B206" s="4"/>
      <c r="C206" s="4"/>
      <c r="D206" s="5"/>
      <c r="E206" s="5"/>
      <c r="F206" s="15"/>
    </row>
    <row r="207" spans="1:6" ht="15" customHeight="1" thickBot="1" x14ac:dyDescent="0.25">
      <c r="A207" s="10" t="s">
        <v>179</v>
      </c>
      <c r="B207" s="11" t="s">
        <v>180</v>
      </c>
      <c r="C207" s="11"/>
      <c r="D207" s="12">
        <v>2150</v>
      </c>
      <c r="E207" s="13">
        <v>400</v>
      </c>
      <c r="F207" s="16">
        <f>299/0.77</f>
        <v>388.31168831168833</v>
      </c>
    </row>
    <row r="208" spans="1:6" ht="15" customHeight="1" x14ac:dyDescent="0.2">
      <c r="A208" s="3" t="s">
        <v>181</v>
      </c>
      <c r="B208" s="4"/>
      <c r="C208" s="4"/>
      <c r="D208" s="5"/>
      <c r="E208" s="5"/>
      <c r="F208" s="15"/>
    </row>
    <row r="209" spans="1:6" ht="15" customHeight="1" x14ac:dyDescent="0.2">
      <c r="A209" s="10" t="s">
        <v>181</v>
      </c>
      <c r="B209" s="11" t="s">
        <v>182</v>
      </c>
      <c r="C209" s="11"/>
      <c r="D209" s="12">
        <v>425</v>
      </c>
      <c r="E209" s="13">
        <v>425.25</v>
      </c>
      <c r="F209" s="16">
        <f>150/0.47</f>
        <v>319.14893617021278</v>
      </c>
    </row>
    <row r="210" spans="1:6" ht="15" customHeight="1" x14ac:dyDescent="0.2">
      <c r="A210" s="10" t="s">
        <v>181</v>
      </c>
      <c r="B210" s="11" t="s">
        <v>18</v>
      </c>
      <c r="C210" s="11"/>
      <c r="D210" s="12">
        <v>850</v>
      </c>
      <c r="E210" s="13">
        <v>425</v>
      </c>
      <c r="F210" s="16">
        <f>150/0.35</f>
        <v>428.57142857142861</v>
      </c>
    </row>
    <row r="211" spans="1:6" ht="15" customHeight="1" thickBot="1" x14ac:dyDescent="0.25">
      <c r="A211" s="10" t="s">
        <v>181</v>
      </c>
      <c r="B211" s="11" t="s">
        <v>183</v>
      </c>
      <c r="C211" s="11"/>
      <c r="D211" s="12">
        <v>2110</v>
      </c>
      <c r="E211" s="13">
        <v>189</v>
      </c>
      <c r="F211" s="16">
        <f>88/1.37</f>
        <v>64.233576642335763</v>
      </c>
    </row>
    <row r="212" spans="1:6" ht="15" customHeight="1" x14ac:dyDescent="0.2">
      <c r="A212" s="3" t="s">
        <v>184</v>
      </c>
      <c r="B212" s="4"/>
      <c r="C212" s="4"/>
      <c r="D212" s="5"/>
      <c r="E212" s="5"/>
      <c r="F212" s="15"/>
    </row>
    <row r="213" spans="1:6" ht="15" customHeight="1" thickBot="1" x14ac:dyDescent="0.25">
      <c r="A213" s="10" t="s">
        <v>184</v>
      </c>
      <c r="B213" s="11"/>
      <c r="C213" s="11" t="s">
        <v>86</v>
      </c>
      <c r="D213" s="12">
        <v>1600</v>
      </c>
      <c r="E213" s="13">
        <v>750</v>
      </c>
      <c r="F213" s="16"/>
    </row>
    <row r="214" spans="1:6" ht="15" customHeight="1" x14ac:dyDescent="0.2">
      <c r="A214" s="3" t="s">
        <v>185</v>
      </c>
      <c r="B214" s="4"/>
      <c r="C214" s="4"/>
      <c r="D214" s="5"/>
      <c r="E214" s="5"/>
      <c r="F214" s="15"/>
    </row>
    <row r="215" spans="1:6" ht="15" customHeight="1" thickBot="1" x14ac:dyDescent="0.25">
      <c r="A215" s="10" t="s">
        <v>185</v>
      </c>
      <c r="B215" s="11" t="s">
        <v>44</v>
      </c>
      <c r="C215" s="11"/>
      <c r="D215" s="12">
        <v>3840</v>
      </c>
      <c r="E215" s="13">
        <v>330</v>
      </c>
      <c r="F215" s="16">
        <f>300/0.79</f>
        <v>379.74683544303798</v>
      </c>
    </row>
    <row r="216" spans="1:6" ht="15" customHeight="1" x14ac:dyDescent="0.2">
      <c r="A216" s="3" t="s">
        <v>186</v>
      </c>
      <c r="B216" s="4"/>
      <c r="C216" s="4"/>
      <c r="D216" s="5"/>
      <c r="E216" s="5"/>
      <c r="F216" s="15"/>
    </row>
    <row r="217" spans="1:6" ht="15" customHeight="1" thickBot="1" x14ac:dyDescent="0.25">
      <c r="A217" s="10" t="s">
        <v>186</v>
      </c>
      <c r="B217" s="11"/>
      <c r="C217" s="11" t="s">
        <v>38</v>
      </c>
      <c r="D217" s="12">
        <v>2830</v>
      </c>
      <c r="E217" s="13">
        <v>750</v>
      </c>
      <c r="F217" s="16"/>
    </row>
    <row r="218" spans="1:6" ht="15" customHeight="1" x14ac:dyDescent="0.2">
      <c r="A218" s="3" t="s">
        <v>187</v>
      </c>
      <c r="B218" s="4"/>
      <c r="C218" s="4"/>
      <c r="D218" s="5"/>
      <c r="E218" s="5"/>
      <c r="F218" s="15"/>
    </row>
    <row r="219" spans="1:6" ht="15" customHeight="1" thickBot="1" x14ac:dyDescent="0.25">
      <c r="A219" s="10" t="s">
        <v>187</v>
      </c>
      <c r="B219" s="11" t="s">
        <v>68</v>
      </c>
      <c r="C219" s="11"/>
      <c r="D219" s="12">
        <v>3555</v>
      </c>
      <c r="E219" s="13">
        <v>400</v>
      </c>
      <c r="F219" s="16">
        <f>150/0.84</f>
        <v>178.57142857142858</v>
      </c>
    </row>
    <row r="220" spans="1:6" ht="15" customHeight="1" x14ac:dyDescent="0.2">
      <c r="A220" s="3" t="s">
        <v>188</v>
      </c>
      <c r="B220" s="4"/>
      <c r="C220" s="4"/>
      <c r="D220" s="5"/>
      <c r="E220" s="5"/>
      <c r="F220" s="15"/>
    </row>
    <row r="221" spans="1:6" ht="15" customHeight="1" thickBot="1" x14ac:dyDescent="0.25">
      <c r="A221" s="10" t="s">
        <v>188</v>
      </c>
      <c r="B221" s="11" t="s">
        <v>189</v>
      </c>
      <c r="C221" s="11"/>
      <c r="D221" s="12">
        <v>452</v>
      </c>
      <c r="E221" s="13">
        <v>451.5</v>
      </c>
      <c r="F221" s="16">
        <f>340/1.32</f>
        <v>257.57575757575756</v>
      </c>
    </row>
    <row r="222" spans="1:6" ht="15" customHeight="1" x14ac:dyDescent="0.2">
      <c r="A222" s="3" t="s">
        <v>190</v>
      </c>
      <c r="B222" s="4"/>
      <c r="C222" s="4"/>
      <c r="D222" s="5"/>
      <c r="E222" s="5"/>
      <c r="F222" s="15"/>
    </row>
    <row r="223" spans="1:6" ht="15" customHeight="1" x14ac:dyDescent="0.2">
      <c r="A223" s="10" t="s">
        <v>190</v>
      </c>
      <c r="B223" s="11" t="s">
        <v>27</v>
      </c>
      <c r="C223" s="11"/>
      <c r="D223" s="12">
        <v>1425</v>
      </c>
      <c r="E223" s="13">
        <v>717.5</v>
      </c>
      <c r="F223" s="16">
        <f>250/0.7</f>
        <v>357.14285714285717</v>
      </c>
    </row>
    <row r="224" spans="1:6" ht="15" customHeight="1" thickBot="1" x14ac:dyDescent="0.25">
      <c r="A224" s="10" t="s">
        <v>190</v>
      </c>
      <c r="B224" s="11" t="s">
        <v>28</v>
      </c>
      <c r="C224" s="11"/>
      <c r="D224" s="12">
        <v>550</v>
      </c>
      <c r="E224" s="13">
        <v>275</v>
      </c>
      <c r="F224" s="16">
        <f>475/1.5</f>
        <v>316.66666666666669</v>
      </c>
    </row>
    <row r="225" spans="1:6" ht="15" customHeight="1" x14ac:dyDescent="0.2">
      <c r="A225" s="3" t="s">
        <v>191</v>
      </c>
      <c r="B225" s="4"/>
      <c r="C225" s="4"/>
      <c r="D225" s="5"/>
      <c r="E225" s="5"/>
      <c r="F225" s="15"/>
    </row>
    <row r="226" spans="1:6" ht="15" customHeight="1" x14ac:dyDescent="0.2">
      <c r="A226" s="10" t="s">
        <v>191</v>
      </c>
      <c r="B226" s="11" t="s">
        <v>192</v>
      </c>
      <c r="C226" s="11"/>
      <c r="D226" s="12">
        <v>450</v>
      </c>
      <c r="E226" s="13">
        <v>432</v>
      </c>
      <c r="F226" s="16">
        <f>300/0.51</f>
        <v>588.23529411764707</v>
      </c>
    </row>
    <row r="227" spans="1:6" ht="15" customHeight="1" thickBot="1" x14ac:dyDescent="0.25">
      <c r="A227" s="10" t="s">
        <v>191</v>
      </c>
      <c r="B227" s="11" t="s">
        <v>193</v>
      </c>
      <c r="C227" s="11"/>
      <c r="D227" s="12">
        <v>460</v>
      </c>
      <c r="E227" s="13">
        <v>400</v>
      </c>
      <c r="F227" s="16">
        <f>399/1.14</f>
        <v>350.00000000000006</v>
      </c>
    </row>
    <row r="228" spans="1:6" ht="15" customHeight="1" x14ac:dyDescent="0.2">
      <c r="A228" s="3" t="s">
        <v>194</v>
      </c>
      <c r="B228" s="4"/>
      <c r="C228" s="4"/>
      <c r="D228" s="5"/>
      <c r="E228" s="5"/>
      <c r="F228" s="15"/>
    </row>
    <row r="229" spans="1:6" ht="15" customHeight="1" thickBot="1" x14ac:dyDescent="0.25">
      <c r="A229" s="10" t="s">
        <v>194</v>
      </c>
      <c r="B229" s="11" t="s">
        <v>49</v>
      </c>
      <c r="C229" s="11"/>
      <c r="D229" s="12">
        <v>2585</v>
      </c>
      <c r="E229" s="13">
        <v>400</v>
      </c>
      <c r="F229" s="16">
        <f>150/0.69</f>
        <v>217.39130434782609</v>
      </c>
    </row>
    <row r="230" spans="1:6" ht="15" customHeight="1" x14ac:dyDescent="0.2">
      <c r="A230" s="3" t="s">
        <v>196</v>
      </c>
      <c r="B230" s="4"/>
      <c r="C230" s="4"/>
      <c r="D230" s="5"/>
      <c r="E230" s="5"/>
      <c r="F230" s="15"/>
    </row>
    <row r="231" spans="1:6" ht="15" customHeight="1" x14ac:dyDescent="0.2">
      <c r="A231" s="10" t="s">
        <v>196</v>
      </c>
      <c r="B231" s="11" t="s">
        <v>195</v>
      </c>
      <c r="C231" s="11"/>
      <c r="D231" s="12">
        <v>1575</v>
      </c>
      <c r="E231" s="13">
        <v>315</v>
      </c>
      <c r="F231" s="16">
        <f>325/0.67</f>
        <v>485.07462686567163</v>
      </c>
    </row>
    <row r="232" spans="1:6" ht="15" customHeight="1" x14ac:dyDescent="0.2">
      <c r="A232" s="10" t="s">
        <v>196</v>
      </c>
      <c r="B232" s="11" t="s">
        <v>197</v>
      </c>
      <c r="C232" s="11"/>
      <c r="D232" s="12">
        <v>2155</v>
      </c>
      <c r="E232" s="13">
        <v>431</v>
      </c>
      <c r="F232" s="16">
        <f>364/0.93</f>
        <v>391.39784946236557</v>
      </c>
    </row>
    <row r="233" spans="1:6" ht="15" customHeight="1" x14ac:dyDescent="0.2">
      <c r="A233" s="10" t="s">
        <v>196</v>
      </c>
      <c r="B233" s="11" t="s">
        <v>198</v>
      </c>
      <c r="C233" s="11"/>
      <c r="D233" s="12">
        <v>1525</v>
      </c>
      <c r="E233" s="13">
        <v>304.5</v>
      </c>
      <c r="F233" s="16">
        <f>100/0.76</f>
        <v>131.57894736842104</v>
      </c>
    </row>
    <row r="234" spans="1:6" ht="15" customHeight="1" x14ac:dyDescent="0.2">
      <c r="A234" s="10" t="s">
        <v>196</v>
      </c>
      <c r="B234" s="11" t="s">
        <v>199</v>
      </c>
      <c r="C234" s="11"/>
      <c r="D234" s="12">
        <v>625</v>
      </c>
      <c r="E234" s="13">
        <v>312</v>
      </c>
      <c r="F234" s="16">
        <f>200/0.45</f>
        <v>444.44444444444446</v>
      </c>
    </row>
    <row r="235" spans="1:6" ht="15" customHeight="1" x14ac:dyDescent="0.2">
      <c r="A235" s="10" t="s">
        <v>196</v>
      </c>
      <c r="B235" s="11" t="s">
        <v>200</v>
      </c>
      <c r="C235" s="11"/>
      <c r="D235" s="12">
        <v>860</v>
      </c>
      <c r="E235" s="13">
        <v>431</v>
      </c>
      <c r="F235" s="16">
        <f>364/0.71</f>
        <v>512.67605633802816</v>
      </c>
    </row>
    <row r="236" spans="1:6" ht="15" customHeight="1" x14ac:dyDescent="0.2">
      <c r="A236" s="10" t="s">
        <v>196</v>
      </c>
      <c r="B236" s="11" t="s">
        <v>201</v>
      </c>
      <c r="C236" s="11"/>
      <c r="D236" s="12">
        <v>3445</v>
      </c>
      <c r="E236" s="13">
        <v>431</v>
      </c>
      <c r="F236" s="16">
        <f>364/1.06</f>
        <v>343.3962264150943</v>
      </c>
    </row>
    <row r="237" spans="1:6" ht="15" customHeight="1" x14ac:dyDescent="0.2">
      <c r="A237" s="10" t="s">
        <v>196</v>
      </c>
      <c r="B237" s="11" t="s">
        <v>202</v>
      </c>
      <c r="C237" s="11"/>
      <c r="D237" s="12">
        <v>3060</v>
      </c>
      <c r="E237" s="13">
        <v>306</v>
      </c>
      <c r="F237" s="16">
        <f>450/1.3</f>
        <v>346.15384615384613</v>
      </c>
    </row>
    <row r="238" spans="1:6" ht="15" customHeight="1" x14ac:dyDescent="0.2">
      <c r="A238" s="10" t="s">
        <v>196</v>
      </c>
      <c r="B238" s="11" t="s">
        <v>203</v>
      </c>
      <c r="C238" s="11"/>
      <c r="D238" s="12">
        <v>6465</v>
      </c>
      <c r="E238" s="13">
        <v>431</v>
      </c>
      <c r="F238" s="16">
        <f>364/1.38</f>
        <v>263.768115942029</v>
      </c>
    </row>
    <row r="239" spans="1:6" ht="15" customHeight="1" thickBot="1" x14ac:dyDescent="0.25">
      <c r="A239" s="10" t="s">
        <v>196</v>
      </c>
      <c r="B239" s="11"/>
      <c r="C239" s="11" t="s">
        <v>204</v>
      </c>
      <c r="D239" s="12">
        <v>16415</v>
      </c>
      <c r="E239" s="13">
        <v>750</v>
      </c>
      <c r="F239" s="16"/>
    </row>
    <row r="240" spans="1:6" ht="15" customHeight="1" x14ac:dyDescent="0.2">
      <c r="A240" s="3" t="s">
        <v>205</v>
      </c>
      <c r="B240" s="4"/>
      <c r="C240" s="4"/>
      <c r="D240" s="5"/>
      <c r="E240" s="5"/>
      <c r="F240" s="15"/>
    </row>
    <row r="241" spans="1:6" ht="15" customHeight="1" thickBot="1" x14ac:dyDescent="0.25">
      <c r="A241" s="10" t="s">
        <v>205</v>
      </c>
      <c r="B241" s="11" t="s">
        <v>28</v>
      </c>
      <c r="C241" s="11"/>
      <c r="D241" s="12">
        <v>345</v>
      </c>
      <c r="E241" s="13">
        <v>275</v>
      </c>
      <c r="F241" s="16">
        <f>475/1.5</f>
        <v>316.66666666666669</v>
      </c>
    </row>
    <row r="242" spans="1:6" ht="15" customHeight="1" x14ac:dyDescent="0.2">
      <c r="A242" s="3" t="s">
        <v>206</v>
      </c>
      <c r="B242" s="4"/>
      <c r="C242" s="4"/>
      <c r="D242" s="5"/>
      <c r="E242" s="5"/>
      <c r="F242" s="15"/>
    </row>
    <row r="243" spans="1:6" ht="15" customHeight="1" x14ac:dyDescent="0.2">
      <c r="A243" s="10" t="s">
        <v>206</v>
      </c>
      <c r="B243" s="11" t="s">
        <v>7</v>
      </c>
      <c r="C243" s="11"/>
      <c r="D243" s="12">
        <v>1020</v>
      </c>
      <c r="E243" s="13">
        <v>425.25</v>
      </c>
      <c r="F243" s="16">
        <f>200/0.7</f>
        <v>285.71428571428572</v>
      </c>
    </row>
    <row r="244" spans="1:6" ht="15" customHeight="1" thickBot="1" x14ac:dyDescent="0.25">
      <c r="A244" s="10" t="s">
        <v>206</v>
      </c>
      <c r="B244" s="11" t="s">
        <v>51</v>
      </c>
      <c r="C244" s="11"/>
      <c r="D244" s="12">
        <v>1020</v>
      </c>
      <c r="E244" s="13">
        <v>602</v>
      </c>
      <c r="F244" s="16">
        <f>150/0.46</f>
        <v>326.08695652173913</v>
      </c>
    </row>
    <row r="245" spans="1:6" ht="15" customHeight="1" x14ac:dyDescent="0.2">
      <c r="A245" s="3" t="s">
        <v>207</v>
      </c>
      <c r="B245" s="4"/>
      <c r="C245" s="4"/>
      <c r="D245" s="5"/>
      <c r="E245" s="5"/>
      <c r="F245" s="15"/>
    </row>
    <row r="246" spans="1:6" ht="15" customHeight="1" thickBot="1" x14ac:dyDescent="0.25">
      <c r="A246" s="10" t="s">
        <v>207</v>
      </c>
      <c r="B246" s="11" t="s">
        <v>189</v>
      </c>
      <c r="C246" s="11"/>
      <c r="D246" s="12">
        <v>4450</v>
      </c>
      <c r="E246" s="13">
        <v>451.5</v>
      </c>
      <c r="F246" s="16">
        <f>340/1.32</f>
        <v>257.57575757575756</v>
      </c>
    </row>
    <row r="247" spans="1:6" ht="15" customHeight="1" x14ac:dyDescent="0.2">
      <c r="A247" s="3" t="s">
        <v>208</v>
      </c>
      <c r="B247" s="4"/>
      <c r="C247" s="4"/>
      <c r="D247" s="5"/>
      <c r="E247" s="5"/>
      <c r="F247" s="15"/>
    </row>
    <row r="248" spans="1:6" ht="15" customHeight="1" thickBot="1" x14ac:dyDescent="0.25">
      <c r="A248" s="10" t="s">
        <v>208</v>
      </c>
      <c r="B248" s="11"/>
      <c r="C248" s="11" t="s">
        <v>40</v>
      </c>
      <c r="D248" s="12">
        <v>750</v>
      </c>
      <c r="E248" s="13">
        <v>750</v>
      </c>
      <c r="F248" s="16"/>
    </row>
    <row r="249" spans="1:6" ht="15" customHeight="1" x14ac:dyDescent="0.2">
      <c r="A249" s="3" t="s">
        <v>209</v>
      </c>
      <c r="B249" s="4"/>
      <c r="C249" s="4"/>
      <c r="D249" s="5"/>
      <c r="E249" s="5"/>
      <c r="F249" s="15"/>
    </row>
    <row r="250" spans="1:6" ht="15" customHeight="1" thickBot="1" x14ac:dyDescent="0.25">
      <c r="A250" s="10" t="s">
        <v>209</v>
      </c>
      <c r="B250" s="11"/>
      <c r="C250" s="11" t="s">
        <v>38</v>
      </c>
      <c r="D250" s="12">
        <v>1220</v>
      </c>
      <c r="E250" s="13">
        <v>750</v>
      </c>
      <c r="F250" s="16"/>
    </row>
    <row r="251" spans="1:6" ht="15" customHeight="1" x14ac:dyDescent="0.2">
      <c r="A251" s="3" t="s">
        <v>210</v>
      </c>
      <c r="B251" s="4"/>
      <c r="C251" s="4"/>
      <c r="D251" s="5"/>
      <c r="E251" s="5"/>
      <c r="F251" s="15"/>
    </row>
    <row r="252" spans="1:6" ht="15" customHeight="1" thickBot="1" x14ac:dyDescent="0.25">
      <c r="A252" s="10" t="s">
        <v>210</v>
      </c>
      <c r="B252" s="11" t="s">
        <v>211</v>
      </c>
      <c r="C252" s="11"/>
      <c r="D252" s="12">
        <v>430</v>
      </c>
      <c r="E252" s="13">
        <v>400</v>
      </c>
      <c r="F252" s="16">
        <f>365/3.39</f>
        <v>107.66961651917404</v>
      </c>
    </row>
    <row r="253" spans="1:6" ht="15" customHeight="1" x14ac:dyDescent="0.2">
      <c r="A253" s="3" t="s">
        <v>212</v>
      </c>
      <c r="B253" s="4"/>
      <c r="C253" s="4"/>
      <c r="D253" s="5"/>
      <c r="E253" s="5"/>
      <c r="F253" s="15"/>
    </row>
    <row r="254" spans="1:6" ht="15" customHeight="1" thickBot="1" x14ac:dyDescent="0.25">
      <c r="A254" s="10" t="s">
        <v>212</v>
      </c>
      <c r="B254" s="11" t="s">
        <v>213</v>
      </c>
      <c r="C254" s="11"/>
      <c r="D254" s="12">
        <v>2260</v>
      </c>
      <c r="E254" s="13">
        <v>400</v>
      </c>
      <c r="F254" s="16">
        <f>365/0.94</f>
        <v>388.29787234042556</v>
      </c>
    </row>
    <row r="255" spans="1:6" ht="15" customHeight="1" x14ac:dyDescent="0.2">
      <c r="A255" s="3" t="s">
        <v>214</v>
      </c>
      <c r="B255" s="4"/>
      <c r="C255" s="4"/>
      <c r="D255" s="5"/>
      <c r="E255" s="5"/>
      <c r="F255" s="15"/>
    </row>
    <row r="256" spans="1:6" ht="15" customHeight="1" thickBot="1" x14ac:dyDescent="0.25">
      <c r="A256" s="10" t="s">
        <v>214</v>
      </c>
      <c r="B256" s="11" t="s">
        <v>215</v>
      </c>
      <c r="C256" s="11"/>
      <c r="D256" s="12">
        <v>718</v>
      </c>
      <c r="E256" s="13">
        <v>718</v>
      </c>
      <c r="F256" s="16">
        <f>250/0.7</f>
        <v>357.14285714285717</v>
      </c>
    </row>
    <row r="257" spans="1:6" ht="15" customHeight="1" x14ac:dyDescent="0.2">
      <c r="A257" s="3" t="s">
        <v>216</v>
      </c>
      <c r="B257" s="4"/>
      <c r="C257" s="4"/>
      <c r="D257" s="5"/>
      <c r="E257" s="5"/>
      <c r="F257" s="15"/>
    </row>
    <row r="258" spans="1:6" ht="15" customHeight="1" x14ac:dyDescent="0.2">
      <c r="A258" s="10" t="s">
        <v>216</v>
      </c>
      <c r="B258" s="11" t="s">
        <v>95</v>
      </c>
      <c r="C258" s="11"/>
      <c r="D258" s="12">
        <v>800</v>
      </c>
      <c r="E258" s="13">
        <v>400</v>
      </c>
      <c r="F258" s="16">
        <f>50/1.13</f>
        <v>44.247787610619476</v>
      </c>
    </row>
    <row r="259" spans="1:6" ht="15" customHeight="1" thickBot="1" x14ac:dyDescent="0.25">
      <c r="A259" s="10" t="s">
        <v>216</v>
      </c>
      <c r="B259" s="11"/>
      <c r="C259" s="11" t="s">
        <v>133</v>
      </c>
      <c r="D259" s="12">
        <v>3330</v>
      </c>
      <c r="E259" s="13">
        <v>750</v>
      </c>
      <c r="F259" s="16"/>
    </row>
    <row r="260" spans="1:6" ht="15" customHeight="1" x14ac:dyDescent="0.2">
      <c r="A260" s="3" t="s">
        <v>217</v>
      </c>
      <c r="B260" s="4"/>
      <c r="C260" s="4"/>
      <c r="D260" s="5"/>
      <c r="E260" s="5"/>
      <c r="F260" s="15"/>
    </row>
    <row r="261" spans="1:6" ht="15" customHeight="1" thickBot="1" x14ac:dyDescent="0.25">
      <c r="A261" s="10" t="s">
        <v>217</v>
      </c>
      <c r="B261" s="11" t="s">
        <v>148</v>
      </c>
      <c r="C261" s="11"/>
      <c r="D261" s="12">
        <v>353</v>
      </c>
      <c r="E261" s="13">
        <v>353.25</v>
      </c>
      <c r="F261" s="16">
        <f>343/1.49</f>
        <v>230.20134228187919</v>
      </c>
    </row>
    <row r="262" spans="1:6" ht="15" customHeight="1" x14ac:dyDescent="0.2">
      <c r="A262" s="3" t="s">
        <v>218</v>
      </c>
      <c r="B262" s="4"/>
      <c r="C262" s="4"/>
      <c r="D262" s="5"/>
      <c r="E262" s="5"/>
      <c r="F262" s="15"/>
    </row>
    <row r="263" spans="1:6" ht="15" customHeight="1" thickBot="1" x14ac:dyDescent="0.25">
      <c r="A263" s="10" t="s">
        <v>218</v>
      </c>
      <c r="B263" s="11" t="s">
        <v>11</v>
      </c>
      <c r="C263" s="11"/>
      <c r="D263" s="12">
        <v>2680</v>
      </c>
      <c r="E263" s="13">
        <v>400</v>
      </c>
      <c r="F263" s="16">
        <f>985/0.8</f>
        <v>1231.25</v>
      </c>
    </row>
    <row r="264" spans="1:6" ht="15" customHeight="1" x14ac:dyDescent="0.2">
      <c r="A264" s="3" t="s">
        <v>219</v>
      </c>
      <c r="B264" s="4"/>
      <c r="C264" s="4"/>
      <c r="D264" s="5"/>
      <c r="E264" s="5"/>
      <c r="F264" s="15"/>
    </row>
    <row r="265" spans="1:6" ht="15" customHeight="1" x14ac:dyDescent="0.2">
      <c r="A265" s="10" t="s">
        <v>219</v>
      </c>
      <c r="B265" s="11" t="s">
        <v>157</v>
      </c>
      <c r="C265" s="11"/>
      <c r="D265" s="12">
        <v>2045</v>
      </c>
      <c r="E265" s="13">
        <v>240</v>
      </c>
      <c r="F265" s="16">
        <f>90/0.77</f>
        <v>116.88311688311688</v>
      </c>
    </row>
    <row r="266" spans="1:6" ht="15" customHeight="1" thickBot="1" x14ac:dyDescent="0.25">
      <c r="A266" s="10" t="s">
        <v>219</v>
      </c>
      <c r="B266" s="11" t="s">
        <v>9</v>
      </c>
      <c r="C266" s="11"/>
      <c r="D266" s="12">
        <v>2300</v>
      </c>
      <c r="E266" s="13">
        <v>400</v>
      </c>
      <c r="F266" s="16">
        <f>365/0.66</f>
        <v>553.030303030303</v>
      </c>
    </row>
    <row r="267" spans="1:6" ht="15" customHeight="1" x14ac:dyDescent="0.2">
      <c r="A267" s="3" t="s">
        <v>220</v>
      </c>
      <c r="B267" s="4"/>
      <c r="C267" s="4"/>
      <c r="D267" s="5"/>
      <c r="E267" s="5"/>
      <c r="F267" s="15"/>
    </row>
    <row r="268" spans="1:6" ht="15" customHeight="1" x14ac:dyDescent="0.2">
      <c r="A268" s="10" t="s">
        <v>220</v>
      </c>
      <c r="B268" s="11" t="s">
        <v>221</v>
      </c>
      <c r="C268" s="11"/>
      <c r="D268" s="12">
        <v>20775</v>
      </c>
      <c r="E268" s="13">
        <v>392</v>
      </c>
      <c r="F268" s="16">
        <f>614/2.37</f>
        <v>259.07172995780587</v>
      </c>
    </row>
    <row r="269" spans="1:6" ht="15" customHeight="1" thickBot="1" x14ac:dyDescent="0.25">
      <c r="A269" s="10" t="s">
        <v>220</v>
      </c>
      <c r="B269" s="11"/>
      <c r="C269" s="11" t="s">
        <v>40</v>
      </c>
      <c r="D269" s="12">
        <v>71250</v>
      </c>
      <c r="E269" s="13">
        <v>750</v>
      </c>
      <c r="F269" s="16"/>
    </row>
    <row r="270" spans="1:6" ht="15" customHeight="1" x14ac:dyDescent="0.2">
      <c r="A270" s="3" t="s">
        <v>222</v>
      </c>
      <c r="B270" s="4"/>
      <c r="C270" s="4"/>
      <c r="D270" s="5"/>
      <c r="E270" s="5"/>
      <c r="F270" s="15"/>
    </row>
    <row r="271" spans="1:6" ht="15" customHeight="1" x14ac:dyDescent="0.2">
      <c r="A271" s="10" t="s">
        <v>222</v>
      </c>
      <c r="B271" s="11" t="s">
        <v>223</v>
      </c>
      <c r="C271" s="11"/>
      <c r="D271" s="12">
        <v>1500</v>
      </c>
      <c r="E271" s="13">
        <v>400</v>
      </c>
      <c r="F271" s="16">
        <f>985/2</f>
        <v>492.5</v>
      </c>
    </row>
    <row r="272" spans="1:6" ht="15" customHeight="1" x14ac:dyDescent="0.2">
      <c r="A272" s="10" t="s">
        <v>222</v>
      </c>
      <c r="B272" s="11" t="s">
        <v>224</v>
      </c>
      <c r="C272" s="11"/>
      <c r="D272" s="12">
        <v>2150</v>
      </c>
      <c r="E272" s="13">
        <v>451.5</v>
      </c>
      <c r="F272" s="16">
        <f>300/0.7</f>
        <v>428.57142857142861</v>
      </c>
    </row>
    <row r="273" spans="1:6" ht="15" customHeight="1" thickBot="1" x14ac:dyDescent="0.25">
      <c r="A273" s="10" t="s">
        <v>222</v>
      </c>
      <c r="B273" s="11" t="s">
        <v>95</v>
      </c>
      <c r="C273" s="11"/>
      <c r="D273" s="12">
        <v>4695</v>
      </c>
      <c r="E273" s="13">
        <v>400</v>
      </c>
      <c r="F273" s="16">
        <f>50/1.13</f>
        <v>44.247787610619476</v>
      </c>
    </row>
    <row r="274" spans="1:6" ht="15" customHeight="1" x14ac:dyDescent="0.2">
      <c r="A274" s="3" t="s">
        <v>225</v>
      </c>
      <c r="B274" s="4"/>
      <c r="C274" s="4"/>
      <c r="D274" s="5"/>
      <c r="E274" s="5"/>
      <c r="F274" s="15"/>
    </row>
    <row r="275" spans="1:6" ht="15" customHeight="1" x14ac:dyDescent="0.2">
      <c r="A275" s="10" t="s">
        <v>225</v>
      </c>
      <c r="B275" s="11" t="s">
        <v>226</v>
      </c>
      <c r="C275" s="11"/>
      <c r="D275" s="12">
        <v>3300</v>
      </c>
      <c r="E275" s="13">
        <v>330</v>
      </c>
      <c r="F275" s="16">
        <f>240/1.5</f>
        <v>160</v>
      </c>
    </row>
    <row r="276" spans="1:6" ht="15" customHeight="1" x14ac:dyDescent="0.2">
      <c r="A276" s="10" t="s">
        <v>225</v>
      </c>
      <c r="B276" s="11" t="s">
        <v>227</v>
      </c>
      <c r="C276" s="11"/>
      <c r="D276" s="12">
        <v>26075</v>
      </c>
      <c r="E276" s="13">
        <v>400</v>
      </c>
      <c r="F276" s="16">
        <f>985/1.88</f>
        <v>523.936170212766</v>
      </c>
    </row>
    <row r="277" spans="1:6" ht="15" customHeight="1" x14ac:dyDescent="0.2">
      <c r="A277" s="10" t="s">
        <v>225</v>
      </c>
      <c r="B277" s="11"/>
      <c r="C277" s="11" t="s">
        <v>177</v>
      </c>
      <c r="D277" s="12">
        <v>1500</v>
      </c>
      <c r="E277" s="13">
        <v>750</v>
      </c>
      <c r="F277" s="16"/>
    </row>
    <row r="278" spans="1:6" ht="15" customHeight="1" x14ac:dyDescent="0.2">
      <c r="A278" s="10" t="s">
        <v>225</v>
      </c>
      <c r="B278" s="11"/>
      <c r="C278" s="11" t="s">
        <v>178</v>
      </c>
      <c r="D278" s="12">
        <v>1500</v>
      </c>
      <c r="E278" s="13">
        <v>750</v>
      </c>
      <c r="F278" s="16"/>
    </row>
    <row r="279" spans="1:6" ht="15" customHeight="1" thickBot="1" x14ac:dyDescent="0.25">
      <c r="A279" s="10" t="s">
        <v>225</v>
      </c>
      <c r="B279" s="11"/>
      <c r="C279" s="11" t="s">
        <v>228</v>
      </c>
      <c r="D279" s="12">
        <v>1500</v>
      </c>
      <c r="E279" s="13">
        <v>750</v>
      </c>
      <c r="F279" s="16"/>
    </row>
    <row r="280" spans="1:6" ht="15" customHeight="1" x14ac:dyDescent="0.2">
      <c r="A280" s="3" t="s">
        <v>229</v>
      </c>
      <c r="B280" s="4"/>
      <c r="C280" s="4"/>
      <c r="D280" s="5"/>
      <c r="E280" s="5"/>
      <c r="F280" s="15"/>
    </row>
    <row r="281" spans="1:6" ht="15" customHeight="1" x14ac:dyDescent="0.2">
      <c r="A281" s="10" t="s">
        <v>229</v>
      </c>
      <c r="B281" s="11" t="s">
        <v>230</v>
      </c>
      <c r="C281" s="11"/>
      <c r="D281" s="12">
        <v>15355</v>
      </c>
      <c r="E281" s="13">
        <v>400</v>
      </c>
      <c r="F281" s="16">
        <f>985/1.36</f>
        <v>724.26470588235293</v>
      </c>
    </row>
    <row r="282" spans="1:6" ht="15" customHeight="1" thickBot="1" x14ac:dyDescent="0.25">
      <c r="A282" s="10" t="s">
        <v>229</v>
      </c>
      <c r="B282" s="11" t="s">
        <v>231</v>
      </c>
      <c r="C282" s="11"/>
      <c r="D282" s="12">
        <v>5290</v>
      </c>
      <c r="E282" s="13">
        <v>441</v>
      </c>
      <c r="F282" s="16">
        <f>250/0.71</f>
        <v>352.11267605633805</v>
      </c>
    </row>
    <row r="283" spans="1:6" ht="15" customHeight="1" x14ac:dyDescent="0.2">
      <c r="A283" s="3" t="s">
        <v>232</v>
      </c>
      <c r="B283" s="4"/>
      <c r="C283" s="4"/>
      <c r="D283" s="5"/>
      <c r="E283" s="5"/>
      <c r="F283" s="15"/>
    </row>
    <row r="284" spans="1:6" ht="15" customHeight="1" x14ac:dyDescent="0.2">
      <c r="A284" s="10" t="s">
        <v>232</v>
      </c>
      <c r="B284" s="11" t="s">
        <v>233</v>
      </c>
      <c r="C284" s="11"/>
      <c r="D284" s="12">
        <v>6000</v>
      </c>
      <c r="E284" s="13">
        <v>400</v>
      </c>
      <c r="F284" s="16">
        <f>985/4.8</f>
        <v>205.20833333333334</v>
      </c>
    </row>
    <row r="285" spans="1:6" ht="15" customHeight="1" x14ac:dyDescent="0.2">
      <c r="A285" s="10" t="s">
        <v>232</v>
      </c>
      <c r="B285" s="11" t="s">
        <v>234</v>
      </c>
      <c r="C285" s="11"/>
      <c r="D285" s="12">
        <v>3600</v>
      </c>
      <c r="E285" s="13">
        <v>400</v>
      </c>
      <c r="F285" s="16">
        <f>985/2.38</f>
        <v>413.8655462184874</v>
      </c>
    </row>
    <row r="286" spans="1:6" ht="15" customHeight="1" x14ac:dyDescent="0.2">
      <c r="A286" s="10" t="s">
        <v>232</v>
      </c>
      <c r="B286" s="11" t="s">
        <v>235</v>
      </c>
      <c r="C286" s="11"/>
      <c r="D286" s="12">
        <v>355</v>
      </c>
      <c r="E286" s="13">
        <v>324</v>
      </c>
      <c r="F286" s="16">
        <v>0</v>
      </c>
    </row>
    <row r="287" spans="1:6" ht="15" customHeight="1" x14ac:dyDescent="0.2">
      <c r="A287" s="10" t="s">
        <v>232</v>
      </c>
      <c r="B287" s="11" t="s">
        <v>236</v>
      </c>
      <c r="C287" s="11"/>
      <c r="D287" s="12">
        <v>3600</v>
      </c>
      <c r="E287" s="13">
        <v>400</v>
      </c>
      <c r="F287" s="16">
        <f>985/2.71</f>
        <v>363.46863468634689</v>
      </c>
    </row>
    <row r="288" spans="1:6" ht="15" customHeight="1" x14ac:dyDescent="0.2">
      <c r="A288" s="10" t="s">
        <v>232</v>
      </c>
      <c r="B288" s="11" t="s">
        <v>237</v>
      </c>
      <c r="C288" s="11"/>
      <c r="D288" s="12">
        <v>6000</v>
      </c>
      <c r="E288" s="13">
        <v>400</v>
      </c>
      <c r="F288" s="16">
        <f>985/5.27</f>
        <v>186.9070208728653</v>
      </c>
    </row>
    <row r="289" spans="1:6" ht="15" customHeight="1" thickBot="1" x14ac:dyDescent="0.25">
      <c r="A289" s="10" t="s">
        <v>232</v>
      </c>
      <c r="B289" s="11"/>
      <c r="C289" s="11" t="s">
        <v>238</v>
      </c>
      <c r="D289" s="12">
        <v>7290</v>
      </c>
      <c r="E289" s="13">
        <v>750</v>
      </c>
      <c r="F289" s="16"/>
    </row>
    <row r="290" spans="1:6" ht="15" customHeight="1" x14ac:dyDescent="0.2">
      <c r="A290" s="3" t="s">
        <v>239</v>
      </c>
      <c r="B290" s="4"/>
      <c r="C290" s="4"/>
      <c r="D290" s="5"/>
      <c r="E290" s="5"/>
      <c r="F290" s="15"/>
    </row>
    <row r="291" spans="1:6" ht="15" customHeight="1" x14ac:dyDescent="0.2">
      <c r="A291" s="10" t="s">
        <v>239</v>
      </c>
      <c r="B291" s="11" t="s">
        <v>240</v>
      </c>
      <c r="C291" s="11"/>
      <c r="D291" s="12">
        <v>4000</v>
      </c>
      <c r="E291" s="13">
        <v>400</v>
      </c>
      <c r="F291" s="16">
        <f>985/1.57</f>
        <v>627.38853503184714</v>
      </c>
    </row>
    <row r="292" spans="1:6" ht="15" customHeight="1" x14ac:dyDescent="0.2">
      <c r="A292" s="10" t="s">
        <v>239</v>
      </c>
      <c r="B292" s="11" t="s">
        <v>241</v>
      </c>
      <c r="C292" s="11"/>
      <c r="D292" s="12">
        <v>4000</v>
      </c>
      <c r="E292" s="13">
        <v>400</v>
      </c>
      <c r="F292" s="16">
        <f>985/1.57</f>
        <v>627.38853503184714</v>
      </c>
    </row>
    <row r="293" spans="1:6" ht="15" customHeight="1" x14ac:dyDescent="0.2">
      <c r="A293" s="10" t="s">
        <v>239</v>
      </c>
      <c r="B293" s="11" t="s">
        <v>242</v>
      </c>
      <c r="C293" s="11"/>
      <c r="D293" s="12">
        <v>2800</v>
      </c>
      <c r="E293" s="13">
        <v>400</v>
      </c>
      <c r="F293" s="16">
        <f>985/0.72</f>
        <v>1368.0555555555557</v>
      </c>
    </row>
    <row r="294" spans="1:6" ht="15" customHeight="1" x14ac:dyDescent="0.2">
      <c r="A294" s="10" t="s">
        <v>239</v>
      </c>
      <c r="B294" s="11" t="s">
        <v>243</v>
      </c>
      <c r="C294" s="11"/>
      <c r="D294" s="12">
        <v>6800</v>
      </c>
      <c r="E294" s="13">
        <v>400</v>
      </c>
      <c r="F294" s="16">
        <f>985/2.6</f>
        <v>378.84615384615381</v>
      </c>
    </row>
    <row r="295" spans="1:6" ht="15" customHeight="1" x14ac:dyDescent="0.2">
      <c r="A295" s="10" t="s">
        <v>239</v>
      </c>
      <c r="B295" s="11" t="s">
        <v>235</v>
      </c>
      <c r="C295" s="11"/>
      <c r="D295" s="12">
        <v>965</v>
      </c>
      <c r="E295" s="13">
        <v>324</v>
      </c>
      <c r="F295" s="16">
        <v>0</v>
      </c>
    </row>
    <row r="296" spans="1:6" ht="15" customHeight="1" x14ac:dyDescent="0.2">
      <c r="A296" s="10" t="s">
        <v>239</v>
      </c>
      <c r="B296" s="11" t="s">
        <v>244</v>
      </c>
      <c r="C296" s="11"/>
      <c r="D296" s="12">
        <v>6005</v>
      </c>
      <c r="E296" s="13">
        <v>400</v>
      </c>
      <c r="F296" s="16">
        <f>985/2.32</f>
        <v>424.56896551724139</v>
      </c>
    </row>
    <row r="297" spans="1:6" ht="15" customHeight="1" x14ac:dyDescent="0.2">
      <c r="A297" s="10" t="s">
        <v>239</v>
      </c>
      <c r="B297" s="11" t="s">
        <v>245</v>
      </c>
      <c r="C297" s="11"/>
      <c r="D297" s="12">
        <v>4000</v>
      </c>
      <c r="E297" s="13">
        <v>400</v>
      </c>
      <c r="F297" s="16">
        <f>985/1.13</f>
        <v>871.68141592920358</v>
      </c>
    </row>
    <row r="298" spans="1:6" ht="15" customHeight="1" thickBot="1" x14ac:dyDescent="0.25">
      <c r="A298" s="10" t="s">
        <v>239</v>
      </c>
      <c r="B298" s="11"/>
      <c r="C298" s="11" t="s">
        <v>246</v>
      </c>
      <c r="D298" s="12">
        <v>28840</v>
      </c>
      <c r="E298" s="13">
        <v>750</v>
      </c>
      <c r="F298" s="16"/>
    </row>
    <row r="299" spans="1:6" ht="15" customHeight="1" x14ac:dyDescent="0.2">
      <c r="A299" s="3" t="s">
        <v>247</v>
      </c>
      <c r="B299" s="4"/>
      <c r="C299" s="4"/>
      <c r="D299" s="5"/>
      <c r="E299" s="5"/>
      <c r="F299" s="15"/>
    </row>
    <row r="300" spans="1:6" ht="15" customHeight="1" thickBot="1" x14ac:dyDescent="0.25">
      <c r="A300" s="10" t="s">
        <v>247</v>
      </c>
      <c r="B300" s="11" t="s">
        <v>96</v>
      </c>
      <c r="C300" s="11"/>
      <c r="D300" s="12">
        <v>4305</v>
      </c>
      <c r="E300" s="13">
        <v>400</v>
      </c>
      <c r="F300" s="16">
        <f>360/0.71</f>
        <v>507.04225352112678</v>
      </c>
    </row>
    <row r="301" spans="1:6" ht="15" customHeight="1" x14ac:dyDescent="0.2">
      <c r="A301" s="3" t="s">
        <v>248</v>
      </c>
      <c r="B301" s="4"/>
      <c r="C301" s="4"/>
      <c r="D301" s="5"/>
      <c r="E301" s="5"/>
      <c r="F301" s="15"/>
    </row>
    <row r="302" spans="1:6" ht="15" customHeight="1" thickBot="1" x14ac:dyDescent="0.25">
      <c r="A302" s="10" t="s">
        <v>248</v>
      </c>
      <c r="B302" s="11" t="s">
        <v>249</v>
      </c>
      <c r="C302" s="11"/>
      <c r="D302" s="12">
        <v>275</v>
      </c>
      <c r="E302" s="13">
        <v>275</v>
      </c>
      <c r="F302" s="16">
        <f>475/1.5</f>
        <v>316.66666666666669</v>
      </c>
    </row>
    <row r="303" spans="1:6" ht="15" customHeight="1" x14ac:dyDescent="0.2">
      <c r="A303" s="3" t="s">
        <v>250</v>
      </c>
      <c r="B303" s="4"/>
      <c r="C303" s="4"/>
      <c r="D303" s="5"/>
      <c r="E303" s="5"/>
      <c r="F303" s="15"/>
    </row>
    <row r="304" spans="1:6" ht="15" customHeight="1" x14ac:dyDescent="0.2">
      <c r="A304" s="10" t="s">
        <v>250</v>
      </c>
      <c r="B304" s="11" t="s">
        <v>51</v>
      </c>
      <c r="C304" s="11"/>
      <c r="D304" s="12">
        <v>2400</v>
      </c>
      <c r="E304" s="13">
        <v>602</v>
      </c>
      <c r="F304" s="16">
        <f>150/0.46</f>
        <v>326.08695652173913</v>
      </c>
    </row>
    <row r="305" spans="1:6" ht="15" customHeight="1" thickBot="1" x14ac:dyDescent="0.25">
      <c r="A305" s="10" t="s">
        <v>250</v>
      </c>
      <c r="B305" s="11" t="s">
        <v>7</v>
      </c>
      <c r="C305" s="11"/>
      <c r="D305" s="12">
        <v>2480</v>
      </c>
      <c r="E305" s="13">
        <v>425.25</v>
      </c>
      <c r="F305" s="16">
        <f>200/0.7</f>
        <v>285.71428571428572</v>
      </c>
    </row>
    <row r="306" spans="1:6" ht="15" customHeight="1" x14ac:dyDescent="0.2">
      <c r="A306" s="3" t="s">
        <v>251</v>
      </c>
      <c r="B306" s="4"/>
      <c r="C306" s="4"/>
      <c r="D306" s="5"/>
      <c r="E306" s="5"/>
      <c r="F306" s="15"/>
    </row>
    <row r="307" spans="1:6" ht="15" customHeight="1" x14ac:dyDescent="0.2">
      <c r="A307" s="10" t="s">
        <v>251</v>
      </c>
      <c r="B307" s="11" t="s">
        <v>252</v>
      </c>
      <c r="C307" s="11"/>
      <c r="D307" s="12">
        <v>6660</v>
      </c>
      <c r="E307" s="13">
        <v>400</v>
      </c>
      <c r="F307" s="16">
        <f>300/1</f>
        <v>300</v>
      </c>
    </row>
    <row r="308" spans="1:6" ht="15" customHeight="1" thickBot="1" x14ac:dyDescent="0.25">
      <c r="A308" s="10" t="s">
        <v>251</v>
      </c>
      <c r="B308" s="11" t="s">
        <v>16</v>
      </c>
      <c r="C308" s="11"/>
      <c r="D308" s="12">
        <v>6000</v>
      </c>
      <c r="E308" s="13">
        <v>600</v>
      </c>
      <c r="F308" s="16">
        <f>493/0.77</f>
        <v>640.25974025974028</v>
      </c>
    </row>
    <row r="309" spans="1:6" ht="15" customHeight="1" x14ac:dyDescent="0.2">
      <c r="A309" s="3" t="s">
        <v>253</v>
      </c>
      <c r="B309" s="4"/>
      <c r="C309" s="4"/>
      <c r="D309" s="5"/>
      <c r="E309" s="5"/>
      <c r="F309" s="15"/>
    </row>
    <row r="310" spans="1:6" ht="15" customHeight="1" thickBot="1" x14ac:dyDescent="0.25">
      <c r="A310" s="10" t="s">
        <v>253</v>
      </c>
      <c r="B310" s="11"/>
      <c r="C310" s="11" t="s">
        <v>86</v>
      </c>
      <c r="D310" s="12">
        <v>750</v>
      </c>
      <c r="E310" s="13">
        <v>750</v>
      </c>
      <c r="F310" s="16"/>
    </row>
    <row r="311" spans="1:6" ht="15" customHeight="1" x14ac:dyDescent="0.2">
      <c r="A311" s="3" t="s">
        <v>254</v>
      </c>
      <c r="B311" s="4"/>
      <c r="C311" s="4"/>
      <c r="D311" s="5"/>
      <c r="E311" s="5"/>
      <c r="F311" s="15"/>
    </row>
    <row r="312" spans="1:6" ht="15" customHeight="1" thickBot="1" x14ac:dyDescent="0.25">
      <c r="A312" s="10" t="s">
        <v>254</v>
      </c>
      <c r="B312" s="11"/>
      <c r="C312" s="11"/>
      <c r="D312" s="12"/>
      <c r="E312" s="13"/>
      <c r="F312" s="16"/>
    </row>
    <row r="313" spans="1:6" ht="15" customHeight="1" x14ac:dyDescent="0.2">
      <c r="A313" s="3" t="s">
        <v>255</v>
      </c>
      <c r="B313" s="4"/>
      <c r="C313" s="4"/>
      <c r="D313" s="5"/>
      <c r="E313" s="5"/>
      <c r="F313" s="15"/>
    </row>
    <row r="314" spans="1:6" ht="15" customHeight="1" x14ac:dyDescent="0.2">
      <c r="A314" s="10" t="s">
        <v>255</v>
      </c>
      <c r="B314" s="11" t="s">
        <v>51</v>
      </c>
      <c r="C314" s="11"/>
      <c r="D314" s="12">
        <v>2405</v>
      </c>
      <c r="E314" s="13">
        <v>602</v>
      </c>
      <c r="F314" s="16">
        <f>150/0.46</f>
        <v>326.08695652173913</v>
      </c>
    </row>
    <row r="315" spans="1:6" ht="15" customHeight="1" x14ac:dyDescent="0.2">
      <c r="A315" s="10" t="s">
        <v>255</v>
      </c>
      <c r="B315" s="11" t="s">
        <v>7</v>
      </c>
      <c r="C315" s="11"/>
      <c r="D315" s="12">
        <v>3400</v>
      </c>
      <c r="E315" s="13">
        <v>425.25</v>
      </c>
      <c r="F315" s="16">
        <f>200/0.7</f>
        <v>285.71428571428572</v>
      </c>
    </row>
    <row r="316" spans="1:6" ht="15" customHeight="1" x14ac:dyDescent="0.2">
      <c r="A316" s="10" t="s">
        <v>255</v>
      </c>
      <c r="B316" s="11" t="s">
        <v>182</v>
      </c>
      <c r="C316" s="11"/>
      <c r="D316" s="12">
        <v>1700</v>
      </c>
      <c r="E316" s="13">
        <v>425.25</v>
      </c>
      <c r="F316" s="16">
        <f>150/0.47</f>
        <v>319.14893617021278</v>
      </c>
    </row>
    <row r="317" spans="1:6" ht="15" customHeight="1" x14ac:dyDescent="0.2">
      <c r="A317" s="10" t="s">
        <v>255</v>
      </c>
      <c r="B317" s="11" t="s">
        <v>18</v>
      </c>
      <c r="C317" s="11"/>
      <c r="D317" s="12">
        <v>3400</v>
      </c>
      <c r="E317" s="13">
        <v>425</v>
      </c>
      <c r="F317" s="16">
        <f>150/0.35</f>
        <v>428.57142857142861</v>
      </c>
    </row>
    <row r="318" spans="1:6" ht="15" customHeight="1" thickBot="1" x14ac:dyDescent="0.25">
      <c r="A318" s="10" t="s">
        <v>255</v>
      </c>
      <c r="B318" s="11" t="s">
        <v>183</v>
      </c>
      <c r="C318" s="11"/>
      <c r="D318" s="12">
        <v>1950</v>
      </c>
      <c r="E318" s="13">
        <v>189</v>
      </c>
      <c r="F318" s="16">
        <f>88/1.37</f>
        <v>64.233576642335763</v>
      </c>
    </row>
    <row r="319" spans="1:6" ht="15" customHeight="1" x14ac:dyDescent="0.2">
      <c r="A319" s="3" t="s">
        <v>256</v>
      </c>
      <c r="B319" s="4"/>
      <c r="C319" s="4"/>
      <c r="D319" s="5"/>
      <c r="E319" s="5"/>
      <c r="F319" s="15"/>
    </row>
    <row r="320" spans="1:6" ht="15" customHeight="1" thickBot="1" x14ac:dyDescent="0.25">
      <c r="A320" s="10" t="s">
        <v>256</v>
      </c>
      <c r="B320" s="11" t="s">
        <v>122</v>
      </c>
      <c r="C320" s="11"/>
      <c r="D320" s="12">
        <v>718</v>
      </c>
      <c r="E320" s="13">
        <v>717.5</v>
      </c>
      <c r="F320" s="16">
        <f>250/0.7</f>
        <v>357.14285714285717</v>
      </c>
    </row>
    <row r="321" spans="1:6" ht="15" customHeight="1" x14ac:dyDescent="0.2">
      <c r="A321" s="3" t="s">
        <v>257</v>
      </c>
      <c r="B321" s="4"/>
      <c r="C321" s="4"/>
      <c r="D321" s="5"/>
      <c r="E321" s="5"/>
      <c r="F321" s="15"/>
    </row>
    <row r="322" spans="1:6" ht="15" customHeight="1" thickBot="1" x14ac:dyDescent="0.25">
      <c r="A322" s="10" t="s">
        <v>257</v>
      </c>
      <c r="B322" s="11" t="s">
        <v>258</v>
      </c>
      <c r="C322" s="11"/>
      <c r="D322" s="12">
        <v>1035</v>
      </c>
      <c r="E322" s="13">
        <v>241.5</v>
      </c>
      <c r="F322" s="16">
        <f>100/0.6</f>
        <v>166.66666666666669</v>
      </c>
    </row>
    <row r="323" spans="1:6" ht="15" customHeight="1" x14ac:dyDescent="0.2">
      <c r="A323" s="3" t="s">
        <v>259</v>
      </c>
      <c r="B323" s="4"/>
      <c r="C323" s="4"/>
      <c r="D323" s="5"/>
      <c r="E323" s="5"/>
      <c r="F323" s="15"/>
    </row>
    <row r="324" spans="1:6" ht="15" customHeight="1" thickBot="1" x14ac:dyDescent="0.25">
      <c r="A324" s="10" t="s">
        <v>259</v>
      </c>
      <c r="B324" s="11" t="s">
        <v>11</v>
      </c>
      <c r="C324" s="11"/>
      <c r="D324" s="12">
        <v>2270</v>
      </c>
      <c r="E324" s="13">
        <v>400</v>
      </c>
      <c r="F324" s="16">
        <f>985/0.8</f>
        <v>1231.25</v>
      </c>
    </row>
    <row r="325" spans="1:6" ht="15" customHeight="1" x14ac:dyDescent="0.2">
      <c r="A325" s="3" t="s">
        <v>260</v>
      </c>
      <c r="B325" s="4"/>
      <c r="C325" s="4"/>
      <c r="D325" s="5"/>
      <c r="E325" s="5"/>
      <c r="F325" s="15"/>
    </row>
    <row r="326" spans="1:6" ht="15" customHeight="1" x14ac:dyDescent="0.2">
      <c r="A326" s="10" t="s">
        <v>260</v>
      </c>
      <c r="B326" s="11" t="s">
        <v>75</v>
      </c>
      <c r="C326" s="11"/>
      <c r="D326" s="12">
        <v>400</v>
      </c>
      <c r="E326" s="13">
        <v>400</v>
      </c>
      <c r="F326" s="16">
        <f>985/0.92</f>
        <v>1070.6521739130435</v>
      </c>
    </row>
    <row r="327" spans="1:6" ht="15" customHeight="1" x14ac:dyDescent="0.2">
      <c r="A327" s="10" t="s">
        <v>260</v>
      </c>
      <c r="B327" s="11" t="s">
        <v>76</v>
      </c>
      <c r="C327" s="11"/>
      <c r="D327" s="12">
        <v>1260</v>
      </c>
      <c r="E327" s="13">
        <v>400</v>
      </c>
      <c r="F327" s="16">
        <f>985/1.08</f>
        <v>912.03703703703695</v>
      </c>
    </row>
    <row r="328" spans="1:6" ht="15" customHeight="1" thickBot="1" x14ac:dyDescent="0.25">
      <c r="A328" s="10" t="s">
        <v>260</v>
      </c>
      <c r="B328" s="11" t="s">
        <v>261</v>
      </c>
      <c r="C328" s="11"/>
      <c r="D328" s="12">
        <v>400</v>
      </c>
      <c r="E328" s="13">
        <v>400</v>
      </c>
      <c r="F328" s="16">
        <f>985/0.79</f>
        <v>1246.8354430379745</v>
      </c>
    </row>
    <row r="329" spans="1:6" ht="15" customHeight="1" x14ac:dyDescent="0.2">
      <c r="A329" s="3" t="s">
        <v>262</v>
      </c>
      <c r="B329" s="4"/>
      <c r="C329" s="4"/>
      <c r="D329" s="5"/>
      <c r="E329" s="5"/>
      <c r="F329" s="15"/>
    </row>
    <row r="330" spans="1:6" ht="15" customHeight="1" thickBot="1" x14ac:dyDescent="0.25">
      <c r="A330" s="10" t="s">
        <v>262</v>
      </c>
      <c r="B330" s="11" t="s">
        <v>249</v>
      </c>
      <c r="C330" s="11"/>
      <c r="D330" s="12">
        <v>275</v>
      </c>
      <c r="E330" s="13">
        <v>275</v>
      </c>
      <c r="F330" s="16">
        <f>475/1.5</f>
        <v>316.66666666666669</v>
      </c>
    </row>
    <row r="331" spans="1:6" ht="15" customHeight="1" x14ac:dyDescent="0.2">
      <c r="A331" s="3" t="s">
        <v>263</v>
      </c>
      <c r="B331" s="4"/>
      <c r="C331" s="4"/>
      <c r="D331" s="5"/>
      <c r="E331" s="5"/>
      <c r="F331" s="15"/>
    </row>
    <row r="332" spans="1:6" ht="15" customHeight="1" thickBot="1" x14ac:dyDescent="0.25">
      <c r="A332" s="10" t="s">
        <v>263</v>
      </c>
      <c r="B332" s="11" t="s">
        <v>258</v>
      </c>
      <c r="C332" s="11"/>
      <c r="D332" s="12">
        <v>3370</v>
      </c>
      <c r="E332" s="13">
        <v>241.5</v>
      </c>
      <c r="F332" s="16">
        <f>100/0.6</f>
        <v>166.66666666666669</v>
      </c>
    </row>
    <row r="333" spans="1:6" ht="15" customHeight="1" x14ac:dyDescent="0.2">
      <c r="A333" s="3" t="s">
        <v>264</v>
      </c>
      <c r="B333" s="4"/>
      <c r="C333" s="4"/>
      <c r="D333" s="5"/>
      <c r="E333" s="5"/>
      <c r="F333" s="15"/>
    </row>
    <row r="334" spans="1:6" ht="15" customHeight="1" thickBot="1" x14ac:dyDescent="0.25">
      <c r="A334" s="10" t="s">
        <v>264</v>
      </c>
      <c r="B334" s="11" t="s">
        <v>28</v>
      </c>
      <c r="C334" s="11"/>
      <c r="D334" s="12">
        <v>540</v>
      </c>
      <c r="E334" s="13">
        <v>275</v>
      </c>
      <c r="F334" s="16">
        <f>475/1.5</f>
        <v>316.66666666666669</v>
      </c>
    </row>
    <row r="335" spans="1:6" ht="15" customHeight="1" x14ac:dyDescent="0.2">
      <c r="A335" s="3" t="s">
        <v>265</v>
      </c>
      <c r="B335" s="4"/>
      <c r="C335" s="4"/>
      <c r="D335" s="5"/>
      <c r="E335" s="5"/>
      <c r="F335" s="15"/>
    </row>
    <row r="336" spans="1:6" ht="15" customHeight="1" x14ac:dyDescent="0.2">
      <c r="A336" s="10" t="s">
        <v>265</v>
      </c>
      <c r="B336" s="11" t="s">
        <v>266</v>
      </c>
      <c r="C336" s="11"/>
      <c r="D336" s="12">
        <v>11200</v>
      </c>
      <c r="E336" s="13">
        <v>400</v>
      </c>
      <c r="F336" s="16">
        <f>985/2.65</f>
        <v>371.69811320754718</v>
      </c>
    </row>
    <row r="337" spans="1:6" ht="15" customHeight="1" thickBot="1" x14ac:dyDescent="0.25">
      <c r="A337" s="10" t="s">
        <v>265</v>
      </c>
      <c r="B337" s="11"/>
      <c r="C337" s="11" t="s">
        <v>267</v>
      </c>
      <c r="D337" s="12">
        <v>10525</v>
      </c>
      <c r="E337" s="13">
        <v>750</v>
      </c>
      <c r="F337" s="16"/>
    </row>
    <row r="338" spans="1:6" ht="15" customHeight="1" x14ac:dyDescent="0.2">
      <c r="A338" s="3" t="s">
        <v>268</v>
      </c>
      <c r="B338" s="4"/>
      <c r="C338" s="4"/>
      <c r="D338" s="5"/>
      <c r="E338" s="5"/>
      <c r="F338" s="15"/>
    </row>
    <row r="339" spans="1:6" ht="15" customHeight="1" x14ac:dyDescent="0.2">
      <c r="A339" s="10" t="s">
        <v>268</v>
      </c>
      <c r="B339" s="11" t="s">
        <v>24</v>
      </c>
      <c r="C339" s="11"/>
      <c r="D339" s="12">
        <v>743</v>
      </c>
      <c r="E339" s="13">
        <v>743</v>
      </c>
      <c r="F339" s="16">
        <f>985/0.69</f>
        <v>1427.536231884058</v>
      </c>
    </row>
    <row r="340" spans="1:6" ht="15" customHeight="1" thickBot="1" x14ac:dyDescent="0.25">
      <c r="A340" s="10" t="s">
        <v>268</v>
      </c>
      <c r="B340" s="11" t="s">
        <v>25</v>
      </c>
      <c r="C340" s="11"/>
      <c r="D340" s="12">
        <v>730</v>
      </c>
      <c r="E340" s="13">
        <v>402.5</v>
      </c>
      <c r="F340" s="16">
        <f>985/2.53</f>
        <v>389.32806324110675</v>
      </c>
    </row>
    <row r="341" spans="1:6" ht="15" customHeight="1" x14ac:dyDescent="0.2">
      <c r="A341" s="3" t="s">
        <v>269</v>
      </c>
      <c r="B341" s="4"/>
      <c r="C341" s="4"/>
      <c r="D341" s="5"/>
      <c r="E341" s="5"/>
      <c r="F341" s="15"/>
    </row>
    <row r="342" spans="1:6" ht="15" customHeight="1" x14ac:dyDescent="0.2">
      <c r="A342" s="10" t="s">
        <v>269</v>
      </c>
      <c r="B342" s="11" t="s">
        <v>270</v>
      </c>
      <c r="C342" s="11"/>
      <c r="D342" s="12">
        <v>1200</v>
      </c>
      <c r="E342" s="13">
        <v>400</v>
      </c>
      <c r="F342" s="16">
        <f>150/1.09</f>
        <v>137.61467889908255</v>
      </c>
    </row>
    <row r="343" spans="1:6" ht="15" customHeight="1" thickBot="1" x14ac:dyDescent="0.25">
      <c r="A343" s="10" t="s">
        <v>269</v>
      </c>
      <c r="B343" s="11"/>
      <c r="C343" s="11" t="s">
        <v>271</v>
      </c>
      <c r="D343" s="12">
        <v>10190</v>
      </c>
      <c r="E343" s="13">
        <v>750</v>
      </c>
      <c r="F343" s="16"/>
    </row>
    <row r="344" spans="1:6" ht="15" customHeight="1" x14ac:dyDescent="0.2">
      <c r="A344" s="3" t="s">
        <v>272</v>
      </c>
      <c r="B344" s="4"/>
      <c r="C344" s="4"/>
      <c r="D344" s="5"/>
      <c r="E344" s="5"/>
      <c r="F344" s="15"/>
    </row>
    <row r="345" spans="1:6" ht="15" customHeight="1" thickBot="1" x14ac:dyDescent="0.25">
      <c r="A345" s="10" t="s">
        <v>272</v>
      </c>
      <c r="B345" s="11" t="s">
        <v>28</v>
      </c>
      <c r="C345" s="11"/>
      <c r="D345" s="12">
        <v>275</v>
      </c>
      <c r="E345" s="13">
        <v>275</v>
      </c>
      <c r="F345" s="16">
        <f>475/1.5</f>
        <v>316.66666666666669</v>
      </c>
    </row>
    <row r="346" spans="1:6" ht="15" customHeight="1" x14ac:dyDescent="0.2">
      <c r="A346" s="3" t="s">
        <v>273</v>
      </c>
      <c r="B346" s="4"/>
      <c r="C346" s="4"/>
      <c r="D346" s="5"/>
      <c r="E346" s="5"/>
      <c r="F346" s="15"/>
    </row>
    <row r="347" spans="1:6" ht="15" customHeight="1" x14ac:dyDescent="0.2">
      <c r="A347" s="10" t="s">
        <v>273</v>
      </c>
      <c r="B347" s="11" t="s">
        <v>274</v>
      </c>
      <c r="C347" s="11"/>
      <c r="D347" s="12">
        <v>650</v>
      </c>
      <c r="E347" s="13">
        <v>325.5</v>
      </c>
      <c r="F347" s="16">
        <f>150/0.75</f>
        <v>200</v>
      </c>
    </row>
    <row r="348" spans="1:6" ht="15" customHeight="1" thickBot="1" x14ac:dyDescent="0.25">
      <c r="A348" s="10" t="s">
        <v>273</v>
      </c>
      <c r="B348" s="11" t="s">
        <v>22</v>
      </c>
      <c r="C348" s="11"/>
      <c r="D348" s="12">
        <v>1865</v>
      </c>
      <c r="E348" s="13">
        <v>588</v>
      </c>
      <c r="F348" s="16">
        <f>350/0.9</f>
        <v>388.88888888888886</v>
      </c>
    </row>
    <row r="349" spans="1:6" ht="15" customHeight="1" x14ac:dyDescent="0.2">
      <c r="A349" s="3" t="s">
        <v>275</v>
      </c>
      <c r="B349" s="4"/>
      <c r="C349" s="4"/>
      <c r="D349" s="5"/>
      <c r="E349" s="5"/>
      <c r="F349" s="15"/>
    </row>
    <row r="350" spans="1:6" ht="15" customHeight="1" thickBot="1" x14ac:dyDescent="0.25">
      <c r="A350" s="10" t="s">
        <v>275</v>
      </c>
      <c r="B350" s="11" t="s">
        <v>221</v>
      </c>
      <c r="C350" s="11"/>
      <c r="D350" s="12">
        <v>730</v>
      </c>
      <c r="E350" s="13">
        <v>392</v>
      </c>
      <c r="F350" s="16">
        <f>614/2.37</f>
        <v>259.07172995780587</v>
      </c>
    </row>
    <row r="351" spans="1:6" ht="15" customHeight="1" x14ac:dyDescent="0.2">
      <c r="A351" s="3" t="s">
        <v>276</v>
      </c>
      <c r="B351" s="4"/>
      <c r="C351" s="4"/>
      <c r="D351" s="5"/>
      <c r="E351" s="5"/>
      <c r="F351" s="15"/>
    </row>
    <row r="352" spans="1:6" ht="15" customHeight="1" x14ac:dyDescent="0.2">
      <c r="A352" s="10" t="s">
        <v>276</v>
      </c>
      <c r="B352" s="11" t="s">
        <v>211</v>
      </c>
      <c r="C352" s="11"/>
      <c r="D352" s="12">
        <v>3600</v>
      </c>
      <c r="E352" s="13">
        <v>400</v>
      </c>
      <c r="F352" s="16">
        <f>365/3.39</f>
        <v>107.66961651917404</v>
      </c>
    </row>
    <row r="353" spans="1:6" ht="15" customHeight="1" thickBot="1" x14ac:dyDescent="0.25">
      <c r="A353" s="10" t="s">
        <v>276</v>
      </c>
      <c r="B353" s="11"/>
      <c r="C353" s="11" t="s">
        <v>277</v>
      </c>
      <c r="D353" s="12">
        <v>32420</v>
      </c>
      <c r="E353" s="13">
        <v>750</v>
      </c>
      <c r="F353" s="16"/>
    </row>
    <row r="354" spans="1:6" ht="15" customHeight="1" x14ac:dyDescent="0.2">
      <c r="A354" s="3" t="s">
        <v>278</v>
      </c>
      <c r="B354" s="4"/>
      <c r="C354" s="4"/>
      <c r="D354" s="5"/>
      <c r="E354" s="5"/>
      <c r="F354" s="15"/>
    </row>
    <row r="355" spans="1:6" ht="15" customHeight="1" thickBot="1" x14ac:dyDescent="0.25">
      <c r="A355" s="10" t="s">
        <v>278</v>
      </c>
      <c r="B355" s="11" t="s">
        <v>122</v>
      </c>
      <c r="C355" s="11"/>
      <c r="D355" s="12">
        <v>6455</v>
      </c>
      <c r="E355" s="13">
        <v>717.5</v>
      </c>
      <c r="F355" s="16">
        <f>250/0.7</f>
        <v>357.14285714285717</v>
      </c>
    </row>
    <row r="356" spans="1:6" ht="15" customHeight="1" x14ac:dyDescent="0.2">
      <c r="A356" s="3" t="s">
        <v>279</v>
      </c>
      <c r="B356" s="4"/>
      <c r="C356" s="4"/>
      <c r="D356" s="5"/>
      <c r="E356" s="5"/>
      <c r="F356" s="15"/>
    </row>
    <row r="357" spans="1:6" ht="15" customHeight="1" thickBot="1" x14ac:dyDescent="0.25">
      <c r="A357" s="10" t="s">
        <v>279</v>
      </c>
      <c r="B357" s="11" t="s">
        <v>55</v>
      </c>
      <c r="C357" s="11"/>
      <c r="D357" s="12">
        <v>718</v>
      </c>
      <c r="E357" s="13">
        <v>718</v>
      </c>
      <c r="F357" s="16">
        <f>600/1.56</f>
        <v>384.61538461538458</v>
      </c>
    </row>
    <row r="358" spans="1:6" ht="15" customHeight="1" x14ac:dyDescent="0.2">
      <c r="A358" s="3" t="s">
        <v>280</v>
      </c>
      <c r="B358" s="4"/>
      <c r="C358" s="4"/>
      <c r="D358" s="5"/>
      <c r="E358" s="5"/>
      <c r="F358" s="15"/>
    </row>
    <row r="359" spans="1:6" ht="15" customHeight="1" x14ac:dyDescent="0.2">
      <c r="A359" s="10" t="s">
        <v>280</v>
      </c>
      <c r="B359" s="11" t="s">
        <v>8</v>
      </c>
      <c r="C359" s="11"/>
      <c r="D359" s="12">
        <v>600</v>
      </c>
      <c r="E359" s="13">
        <v>307.5</v>
      </c>
      <c r="F359" s="16">
        <f>220/0.95</f>
        <v>231.57894736842107</v>
      </c>
    </row>
    <row r="360" spans="1:6" ht="15" customHeight="1" x14ac:dyDescent="0.2">
      <c r="A360" s="10" t="s">
        <v>280</v>
      </c>
      <c r="B360" s="11" t="s">
        <v>159</v>
      </c>
      <c r="C360" s="11"/>
      <c r="D360" s="12">
        <v>1800</v>
      </c>
      <c r="E360" s="13">
        <v>325.5</v>
      </c>
      <c r="F360" s="16">
        <f>400/0.62</f>
        <v>645.16129032258061</v>
      </c>
    </row>
    <row r="361" spans="1:6" ht="15" customHeight="1" thickBot="1" x14ac:dyDescent="0.25">
      <c r="A361" s="10" t="s">
        <v>280</v>
      </c>
      <c r="B361" s="11" t="s">
        <v>118</v>
      </c>
      <c r="C361" s="11"/>
      <c r="D361" s="12">
        <v>3030</v>
      </c>
      <c r="E361" s="13">
        <v>400</v>
      </c>
      <c r="F361" s="16">
        <f>985/0.48</f>
        <v>2052.0833333333335</v>
      </c>
    </row>
    <row r="362" spans="1:6" ht="15" customHeight="1" x14ac:dyDescent="0.2">
      <c r="A362" s="3" t="s">
        <v>281</v>
      </c>
      <c r="B362" s="4"/>
      <c r="C362" s="4"/>
      <c r="D362" s="5"/>
      <c r="E362" s="5"/>
      <c r="F362" s="15"/>
    </row>
    <row r="363" spans="1:6" ht="15" customHeight="1" thickBot="1" x14ac:dyDescent="0.25">
      <c r="A363" s="10" t="s">
        <v>281</v>
      </c>
      <c r="B363" s="11" t="s">
        <v>122</v>
      </c>
      <c r="C363" s="11"/>
      <c r="D363" s="12">
        <v>1635</v>
      </c>
      <c r="E363" s="13">
        <v>717.5</v>
      </c>
      <c r="F363" s="16">
        <f>250/0.7</f>
        <v>357.14285714285717</v>
      </c>
    </row>
    <row r="364" spans="1:6" ht="15" customHeight="1" x14ac:dyDescent="0.2">
      <c r="A364" s="3" t="s">
        <v>282</v>
      </c>
      <c r="B364" s="4"/>
      <c r="C364" s="4"/>
      <c r="D364" s="5"/>
      <c r="E364" s="5"/>
      <c r="F364" s="15"/>
    </row>
    <row r="365" spans="1:6" ht="15" customHeight="1" thickBot="1" x14ac:dyDescent="0.25">
      <c r="A365" s="10" t="s">
        <v>282</v>
      </c>
      <c r="B365" s="11" t="s">
        <v>28</v>
      </c>
      <c r="C365" s="11"/>
      <c r="D365" s="12">
        <v>395</v>
      </c>
      <c r="E365" s="13">
        <v>275</v>
      </c>
      <c r="F365" s="16">
        <f>475/1.5</f>
        <v>316.66666666666669</v>
      </c>
    </row>
    <row r="366" spans="1:6" ht="15" customHeight="1" x14ac:dyDescent="0.2">
      <c r="A366" s="3" t="s">
        <v>283</v>
      </c>
      <c r="B366" s="4"/>
      <c r="C366" s="4"/>
      <c r="D366" s="5"/>
      <c r="E366" s="5"/>
      <c r="F366" s="15"/>
    </row>
    <row r="367" spans="1:6" ht="15" customHeight="1" thickBot="1" x14ac:dyDescent="0.25">
      <c r="A367" s="10" t="s">
        <v>283</v>
      </c>
      <c r="B367" s="11" t="s">
        <v>155</v>
      </c>
      <c r="C367" s="11"/>
      <c r="D367" s="12">
        <v>1785</v>
      </c>
      <c r="E367" s="13">
        <v>441</v>
      </c>
      <c r="F367" s="16">
        <f>240/0.6</f>
        <v>400</v>
      </c>
    </row>
    <row r="368" spans="1:6" ht="15" customHeight="1" x14ac:dyDescent="0.2">
      <c r="A368" s="3" t="s">
        <v>284</v>
      </c>
      <c r="B368" s="4"/>
      <c r="C368" s="4"/>
      <c r="D368" s="5"/>
      <c r="E368" s="5"/>
      <c r="F368" s="15"/>
    </row>
    <row r="369" spans="1:6" ht="15" customHeight="1" x14ac:dyDescent="0.2">
      <c r="A369" s="10" t="s">
        <v>284</v>
      </c>
      <c r="B369" s="11" t="s">
        <v>213</v>
      </c>
      <c r="C369" s="11"/>
      <c r="D369" s="12">
        <v>1600</v>
      </c>
      <c r="E369" s="13">
        <v>400</v>
      </c>
      <c r="F369" s="16">
        <f>365/0.94</f>
        <v>388.29787234042556</v>
      </c>
    </row>
    <row r="370" spans="1:6" ht="15" customHeight="1" x14ac:dyDescent="0.2">
      <c r="A370" s="10" t="s">
        <v>284</v>
      </c>
      <c r="B370" s="11" t="s">
        <v>211</v>
      </c>
      <c r="C370" s="11"/>
      <c r="D370" s="12">
        <v>800</v>
      </c>
      <c r="E370" s="13">
        <v>400</v>
      </c>
      <c r="F370" s="16">
        <f>365/3.39</f>
        <v>107.66961651917404</v>
      </c>
    </row>
    <row r="371" spans="1:6" ht="15" customHeight="1" thickBot="1" x14ac:dyDescent="0.25">
      <c r="A371" s="10" t="s">
        <v>284</v>
      </c>
      <c r="B371" s="11"/>
      <c r="C371" s="11" t="s">
        <v>38</v>
      </c>
      <c r="D371" s="12">
        <v>3530</v>
      </c>
      <c r="E371" s="13">
        <v>750</v>
      </c>
      <c r="F371" s="16"/>
    </row>
    <row r="372" spans="1:6" ht="15" customHeight="1" x14ac:dyDescent="0.2">
      <c r="A372" s="3" t="s">
        <v>285</v>
      </c>
      <c r="B372" s="4"/>
      <c r="C372" s="4"/>
      <c r="D372" s="5"/>
      <c r="E372" s="5"/>
      <c r="F372" s="15"/>
    </row>
    <row r="373" spans="1:6" ht="15" customHeight="1" thickBot="1" x14ac:dyDescent="0.25">
      <c r="A373" s="10" t="s">
        <v>285</v>
      </c>
      <c r="B373" s="11" t="s">
        <v>7</v>
      </c>
      <c r="C373" s="11"/>
      <c r="D373" s="12">
        <v>730</v>
      </c>
      <c r="E373" s="13">
        <v>425.25</v>
      </c>
      <c r="F373" s="16">
        <f>200/0.7</f>
        <v>285.71428571428572</v>
      </c>
    </row>
    <row r="374" spans="1:6" ht="15" customHeight="1" x14ac:dyDescent="0.2">
      <c r="A374" s="3" t="s">
        <v>286</v>
      </c>
      <c r="B374" s="4"/>
      <c r="C374" s="4"/>
      <c r="D374" s="5"/>
      <c r="E374" s="5"/>
      <c r="F374" s="15"/>
    </row>
    <row r="375" spans="1:6" ht="15" customHeight="1" x14ac:dyDescent="0.2">
      <c r="A375" s="10" t="s">
        <v>286</v>
      </c>
      <c r="B375" s="11" t="s">
        <v>77</v>
      </c>
      <c r="C375" s="11"/>
      <c r="D375" s="12">
        <v>10800</v>
      </c>
      <c r="E375" s="13">
        <v>400</v>
      </c>
      <c r="F375" s="16">
        <f>300/2</f>
        <v>150</v>
      </c>
    </row>
    <row r="376" spans="1:6" ht="15" customHeight="1" thickBot="1" x14ac:dyDescent="0.25">
      <c r="A376" s="10" t="s">
        <v>286</v>
      </c>
      <c r="B376" s="11"/>
      <c r="C376" s="11" t="s">
        <v>84</v>
      </c>
      <c r="D376" s="12">
        <v>25595</v>
      </c>
      <c r="E376" s="13">
        <v>750</v>
      </c>
      <c r="F376" s="16"/>
    </row>
    <row r="377" spans="1:6" ht="15" customHeight="1" x14ac:dyDescent="0.2">
      <c r="A377" s="3" t="s">
        <v>287</v>
      </c>
      <c r="B377" s="4"/>
      <c r="C377" s="4"/>
      <c r="D377" s="5"/>
      <c r="E377" s="5"/>
      <c r="F377" s="15"/>
    </row>
    <row r="378" spans="1:6" ht="15" customHeight="1" x14ac:dyDescent="0.2">
      <c r="A378" s="10" t="s">
        <v>287</v>
      </c>
      <c r="B378" s="11" t="s">
        <v>211</v>
      </c>
      <c r="C378" s="11"/>
      <c r="D378" s="12">
        <v>805</v>
      </c>
      <c r="E378" s="13">
        <v>400</v>
      </c>
      <c r="F378" s="16">
        <f>365/3.39</f>
        <v>107.66961651917404</v>
      </c>
    </row>
    <row r="379" spans="1:6" ht="15" customHeight="1" x14ac:dyDescent="0.2">
      <c r="A379" s="10" t="s">
        <v>287</v>
      </c>
      <c r="B379" s="11" t="s">
        <v>157</v>
      </c>
      <c r="C379" s="11"/>
      <c r="D379" s="12">
        <v>2950</v>
      </c>
      <c r="E379" s="13">
        <v>240</v>
      </c>
      <c r="F379" s="16">
        <f>90/0.77</f>
        <v>116.88311688311688</v>
      </c>
    </row>
    <row r="380" spans="1:6" ht="15" customHeight="1" thickBot="1" x14ac:dyDescent="0.25">
      <c r="A380" s="10" t="s">
        <v>287</v>
      </c>
      <c r="B380" s="11" t="s">
        <v>9</v>
      </c>
      <c r="C380" s="11"/>
      <c r="D380" s="12">
        <v>2950</v>
      </c>
      <c r="E380" s="13">
        <v>400</v>
      </c>
      <c r="F380" s="16">
        <f>365/0.66</f>
        <v>553.030303030303</v>
      </c>
    </row>
    <row r="381" spans="1:6" ht="15" customHeight="1" x14ac:dyDescent="0.2">
      <c r="A381" s="3" t="s">
        <v>288</v>
      </c>
      <c r="B381" s="4"/>
      <c r="C381" s="4"/>
      <c r="D381" s="5"/>
      <c r="E381" s="5"/>
      <c r="F381" s="15"/>
    </row>
    <row r="382" spans="1:6" ht="15" customHeight="1" thickBot="1" x14ac:dyDescent="0.25">
      <c r="A382" s="10" t="s">
        <v>288</v>
      </c>
      <c r="B382" s="11" t="s">
        <v>55</v>
      </c>
      <c r="C382" s="11"/>
      <c r="D382" s="12">
        <v>718</v>
      </c>
      <c r="E382" s="13">
        <v>718</v>
      </c>
      <c r="F382" s="16">
        <f>600/1.56</f>
        <v>384.61538461538458</v>
      </c>
    </row>
    <row r="383" spans="1:6" ht="15" customHeight="1" x14ac:dyDescent="0.2">
      <c r="A383" s="3" t="s">
        <v>289</v>
      </c>
      <c r="B383" s="4"/>
      <c r="C383" s="4"/>
      <c r="D383" s="5"/>
      <c r="E383" s="5"/>
      <c r="F383" s="15"/>
    </row>
    <row r="384" spans="1:6" ht="15" customHeight="1" thickBot="1" x14ac:dyDescent="0.25">
      <c r="A384" s="10" t="s">
        <v>289</v>
      </c>
      <c r="B384" s="11" t="s">
        <v>24</v>
      </c>
      <c r="C384" s="11"/>
      <c r="D384" s="12">
        <v>1250</v>
      </c>
      <c r="E384" s="13">
        <v>743</v>
      </c>
      <c r="F384" s="16">
        <f>985/0.69</f>
        <v>1427.536231884058</v>
      </c>
    </row>
    <row r="385" spans="1:6" ht="15" customHeight="1" x14ac:dyDescent="0.2">
      <c r="A385" s="3" t="s">
        <v>290</v>
      </c>
      <c r="B385" s="4"/>
      <c r="C385" s="4"/>
      <c r="D385" s="5"/>
      <c r="E385" s="5"/>
      <c r="F385" s="15"/>
    </row>
    <row r="386" spans="1:6" ht="15" customHeight="1" x14ac:dyDescent="0.2">
      <c r="A386" s="10" t="s">
        <v>290</v>
      </c>
      <c r="B386" s="11" t="s">
        <v>291</v>
      </c>
      <c r="C386" s="11"/>
      <c r="D386" s="12">
        <v>2280</v>
      </c>
      <c r="E386" s="13">
        <v>325.5</v>
      </c>
      <c r="F386" s="16">
        <f>150/0.75</f>
        <v>200</v>
      </c>
    </row>
    <row r="387" spans="1:6" ht="15" customHeight="1" x14ac:dyDescent="0.2">
      <c r="A387" s="10" t="s">
        <v>290</v>
      </c>
      <c r="B387" s="11" t="s">
        <v>7</v>
      </c>
      <c r="C387" s="11"/>
      <c r="D387" s="12">
        <v>2565</v>
      </c>
      <c r="E387" s="13">
        <v>425.25</v>
      </c>
      <c r="F387" s="16">
        <f>200/0.7</f>
        <v>285.71428571428572</v>
      </c>
    </row>
    <row r="388" spans="1:6" ht="15" customHeight="1" thickBot="1" x14ac:dyDescent="0.25">
      <c r="A388" s="10" t="s">
        <v>290</v>
      </c>
      <c r="B388" s="11" t="s">
        <v>22</v>
      </c>
      <c r="C388" s="11"/>
      <c r="D388" s="12">
        <v>588</v>
      </c>
      <c r="E388" s="13">
        <v>588</v>
      </c>
      <c r="F388" s="16">
        <f>350/0.9</f>
        <v>388.88888888888886</v>
      </c>
    </row>
    <row r="389" spans="1:6" ht="15" customHeight="1" x14ac:dyDescent="0.2">
      <c r="A389" s="3" t="s">
        <v>292</v>
      </c>
      <c r="B389" s="4"/>
      <c r="C389" s="4"/>
      <c r="D389" s="5"/>
      <c r="E389" s="5"/>
      <c r="F389" s="15"/>
    </row>
    <row r="390" spans="1:6" ht="15" customHeight="1" thickBot="1" x14ac:dyDescent="0.25">
      <c r="A390" s="10" t="s">
        <v>292</v>
      </c>
      <c r="B390" s="11" t="s">
        <v>25</v>
      </c>
      <c r="C390" s="11"/>
      <c r="D390" s="12">
        <v>815</v>
      </c>
      <c r="E390" s="13">
        <v>400</v>
      </c>
      <c r="F390" s="16">
        <f>985/2.53</f>
        <v>389.32806324110675</v>
      </c>
    </row>
    <row r="391" spans="1:6" ht="15" customHeight="1" x14ac:dyDescent="0.2">
      <c r="A391" s="3" t="s">
        <v>293</v>
      </c>
      <c r="B391" s="4"/>
      <c r="C391" s="4"/>
      <c r="D391" s="5"/>
      <c r="E391" s="5"/>
      <c r="F391" s="15"/>
    </row>
    <row r="392" spans="1:6" ht="15" customHeight="1" x14ac:dyDescent="0.2">
      <c r="A392" s="10" t="s">
        <v>293</v>
      </c>
      <c r="B392" s="11" t="s">
        <v>46</v>
      </c>
      <c r="C392" s="11"/>
      <c r="D392" s="12">
        <v>2350</v>
      </c>
      <c r="E392" s="13">
        <v>588</v>
      </c>
      <c r="F392" s="16">
        <f>250/0.69</f>
        <v>362.31884057971018</v>
      </c>
    </row>
    <row r="393" spans="1:6" ht="15" customHeight="1" thickBot="1" x14ac:dyDescent="0.25">
      <c r="A393" s="10" t="s">
        <v>293</v>
      </c>
      <c r="B393" s="11"/>
      <c r="C393" s="11" t="s">
        <v>47</v>
      </c>
      <c r="D393" s="12">
        <v>1115</v>
      </c>
      <c r="E393" s="13">
        <v>375</v>
      </c>
      <c r="F393" s="16"/>
    </row>
    <row r="394" spans="1:6" ht="15" customHeight="1" x14ac:dyDescent="0.2">
      <c r="A394" s="3" t="s">
        <v>294</v>
      </c>
      <c r="B394" s="4"/>
      <c r="C394" s="4"/>
      <c r="D394" s="5"/>
      <c r="E394" s="5"/>
      <c r="F394" s="15"/>
    </row>
    <row r="395" spans="1:6" ht="15" customHeight="1" thickBot="1" x14ac:dyDescent="0.25">
      <c r="A395" s="10" t="s">
        <v>294</v>
      </c>
      <c r="B395" s="11" t="s">
        <v>295</v>
      </c>
      <c r="C395" s="11"/>
      <c r="D395" s="12">
        <v>1975</v>
      </c>
      <c r="E395" s="13">
        <v>277.5</v>
      </c>
      <c r="F395" s="16">
        <f>380/0.94</f>
        <v>404.25531914893617</v>
      </c>
    </row>
    <row r="396" spans="1:6" ht="15" customHeight="1" x14ac:dyDescent="0.2">
      <c r="A396" s="3" t="s">
        <v>296</v>
      </c>
      <c r="B396" s="4"/>
      <c r="C396" s="4"/>
      <c r="D396" s="5"/>
      <c r="E396" s="5"/>
      <c r="F396" s="15"/>
    </row>
    <row r="397" spans="1:6" ht="15" customHeight="1" thickBot="1" x14ac:dyDescent="0.25">
      <c r="A397" s="10" t="s">
        <v>296</v>
      </c>
      <c r="B397" s="11" t="s">
        <v>27</v>
      </c>
      <c r="C397" s="11"/>
      <c r="D397" s="12">
        <v>980</v>
      </c>
      <c r="E397" s="13">
        <v>717.5</v>
      </c>
      <c r="F397" s="16">
        <f>250/0.7</f>
        <v>357.14285714285717</v>
      </c>
    </row>
    <row r="398" spans="1:6" ht="15" customHeight="1" x14ac:dyDescent="0.2">
      <c r="A398" s="3" t="s">
        <v>297</v>
      </c>
      <c r="B398" s="4"/>
      <c r="C398" s="4"/>
      <c r="D398" s="5"/>
      <c r="E398" s="5"/>
      <c r="F398" s="15"/>
    </row>
    <row r="399" spans="1:6" ht="15" customHeight="1" thickBot="1" x14ac:dyDescent="0.25">
      <c r="A399" s="10" t="s">
        <v>297</v>
      </c>
      <c r="B399" s="11"/>
      <c r="C399" s="11" t="s">
        <v>86</v>
      </c>
      <c r="D399" s="12">
        <v>860</v>
      </c>
      <c r="E399" s="13">
        <v>750</v>
      </c>
      <c r="F399" s="16"/>
    </row>
    <row r="400" spans="1:6" ht="15" customHeight="1" x14ac:dyDescent="0.2">
      <c r="A400" s="3" t="s">
        <v>298</v>
      </c>
      <c r="B400" s="4"/>
      <c r="C400" s="4"/>
      <c r="D400" s="5"/>
      <c r="E400" s="5"/>
      <c r="F400" s="15"/>
    </row>
    <row r="401" spans="1:6" ht="15" customHeight="1" thickBot="1" x14ac:dyDescent="0.25">
      <c r="A401" s="10" t="s">
        <v>298</v>
      </c>
      <c r="B401" s="11"/>
      <c r="C401" s="11"/>
      <c r="D401" s="12"/>
      <c r="E401" s="13"/>
      <c r="F401" s="16"/>
    </row>
    <row r="402" spans="1:6" ht="15" customHeight="1" x14ac:dyDescent="0.2">
      <c r="A402" s="3" t="s">
        <v>299</v>
      </c>
      <c r="B402" s="4"/>
      <c r="C402" s="4"/>
      <c r="D402" s="5"/>
      <c r="E402" s="5"/>
      <c r="F402" s="15"/>
    </row>
    <row r="403" spans="1:6" ht="15" customHeight="1" x14ac:dyDescent="0.2">
      <c r="A403" s="10" t="s">
        <v>299</v>
      </c>
      <c r="B403" s="11" t="s">
        <v>110</v>
      </c>
      <c r="C403" s="11"/>
      <c r="D403" s="12">
        <v>1650</v>
      </c>
      <c r="E403" s="13">
        <v>400</v>
      </c>
      <c r="F403" s="16">
        <f>985/2.25</f>
        <v>437.77777777777777</v>
      </c>
    </row>
    <row r="404" spans="1:6" ht="15" customHeight="1" thickBot="1" x14ac:dyDescent="0.25">
      <c r="A404" s="10" t="s">
        <v>299</v>
      </c>
      <c r="B404" s="11" t="s">
        <v>111</v>
      </c>
      <c r="C404" s="11"/>
      <c r="D404" s="12">
        <v>743</v>
      </c>
      <c r="E404" s="13">
        <v>743</v>
      </c>
      <c r="F404" s="16">
        <f>985/1.13</f>
        <v>871.68141592920358</v>
      </c>
    </row>
    <row r="405" spans="1:6" ht="15" customHeight="1" x14ac:dyDescent="0.2">
      <c r="A405" s="3" t="s">
        <v>300</v>
      </c>
      <c r="B405" s="4"/>
      <c r="C405" s="4"/>
      <c r="D405" s="5"/>
      <c r="E405" s="5"/>
      <c r="F405" s="15"/>
    </row>
    <row r="406" spans="1:6" ht="15" customHeight="1" thickBot="1" x14ac:dyDescent="0.25">
      <c r="A406" s="10" t="s">
        <v>300</v>
      </c>
      <c r="B406" s="11" t="s">
        <v>27</v>
      </c>
      <c r="C406" s="11"/>
      <c r="D406" s="12">
        <v>1195</v>
      </c>
      <c r="E406" s="13">
        <v>717.5</v>
      </c>
      <c r="F406" s="16">
        <f>250/0.7</f>
        <v>357.14285714285717</v>
      </c>
    </row>
    <row r="407" spans="1:6" ht="15" customHeight="1" x14ac:dyDescent="0.2">
      <c r="A407" s="3" t="s">
        <v>301</v>
      </c>
      <c r="B407" s="4"/>
      <c r="C407" s="4"/>
      <c r="D407" s="5"/>
      <c r="E407" s="5"/>
      <c r="F407" s="15"/>
    </row>
    <row r="408" spans="1:6" ht="15" customHeight="1" x14ac:dyDescent="0.2">
      <c r="A408" s="10" t="s">
        <v>301</v>
      </c>
      <c r="B408" s="11" t="s">
        <v>110</v>
      </c>
      <c r="C408" s="11"/>
      <c r="D408" s="12">
        <v>510</v>
      </c>
      <c r="E408" s="13">
        <v>400</v>
      </c>
      <c r="F408" s="16">
        <f>985/2.25</f>
        <v>437.77777777777777</v>
      </c>
    </row>
    <row r="409" spans="1:6" ht="15" customHeight="1" thickBot="1" x14ac:dyDescent="0.25">
      <c r="A409" s="10" t="s">
        <v>301</v>
      </c>
      <c r="B409" s="11" t="s">
        <v>111</v>
      </c>
      <c r="C409" s="11"/>
      <c r="D409" s="12">
        <v>0</v>
      </c>
      <c r="E409" s="13">
        <v>743</v>
      </c>
      <c r="F409" s="16">
        <f>985/1.13</f>
        <v>871.68141592920358</v>
      </c>
    </row>
    <row r="410" spans="1:6" ht="15" customHeight="1" x14ac:dyDescent="0.2">
      <c r="A410" s="3" t="s">
        <v>302</v>
      </c>
      <c r="B410" s="4"/>
      <c r="C410" s="4"/>
      <c r="D410" s="5"/>
      <c r="E410" s="5"/>
      <c r="F410" s="15"/>
    </row>
    <row r="411" spans="1:6" ht="15" customHeight="1" thickBot="1" x14ac:dyDescent="0.25">
      <c r="A411" s="10" t="s">
        <v>302</v>
      </c>
      <c r="B411" s="11" t="s">
        <v>25</v>
      </c>
      <c r="C411" s="11"/>
      <c r="D411" s="12">
        <v>715</v>
      </c>
      <c r="E411" s="13">
        <v>400</v>
      </c>
      <c r="F411" s="16">
        <f>985/2.53</f>
        <v>389.32806324110675</v>
      </c>
    </row>
    <row r="412" spans="1:6" ht="15" customHeight="1" x14ac:dyDescent="0.2">
      <c r="A412" s="3" t="s">
        <v>303</v>
      </c>
      <c r="B412" s="4"/>
      <c r="C412" s="4"/>
      <c r="D412" s="5"/>
      <c r="E412" s="5"/>
      <c r="F412" s="15"/>
    </row>
    <row r="413" spans="1:6" ht="15" customHeight="1" x14ac:dyDescent="0.2">
      <c r="A413" s="10" t="s">
        <v>303</v>
      </c>
      <c r="B413" s="11" t="s">
        <v>30</v>
      </c>
      <c r="C413" s="11"/>
      <c r="D413" s="12">
        <v>3130</v>
      </c>
      <c r="E413" s="13">
        <v>400</v>
      </c>
      <c r="F413" s="16">
        <f>985/0.74</f>
        <v>1331.081081081081</v>
      </c>
    </row>
    <row r="414" spans="1:6" ht="15" customHeight="1" thickBot="1" x14ac:dyDescent="0.25">
      <c r="A414" s="10" t="s">
        <v>303</v>
      </c>
      <c r="B414" s="11" t="s">
        <v>304</v>
      </c>
      <c r="C414" s="11"/>
      <c r="D414" s="12">
        <v>1200</v>
      </c>
      <c r="E414" s="13">
        <v>400</v>
      </c>
      <c r="F414" s="16">
        <f>985/0.8</f>
        <v>1231.25</v>
      </c>
    </row>
    <row r="415" spans="1:6" ht="15" customHeight="1" x14ac:dyDescent="0.2">
      <c r="A415" s="3" t="s">
        <v>305</v>
      </c>
      <c r="B415" s="4"/>
      <c r="C415" s="4"/>
      <c r="D415" s="5"/>
      <c r="E415" s="5"/>
      <c r="F415" s="15"/>
    </row>
    <row r="416" spans="1:6" ht="15" customHeight="1" x14ac:dyDescent="0.2">
      <c r="A416" s="10" t="s">
        <v>305</v>
      </c>
      <c r="B416" s="11" t="s">
        <v>95</v>
      </c>
      <c r="C416" s="11"/>
      <c r="D416" s="12">
        <v>1080</v>
      </c>
      <c r="E416" s="13">
        <v>400</v>
      </c>
      <c r="F416" s="16">
        <f>50/1.13</f>
        <v>44.247787610619476</v>
      </c>
    </row>
    <row r="417" spans="1:6" ht="15" customHeight="1" x14ac:dyDescent="0.2">
      <c r="A417" s="10" t="s">
        <v>305</v>
      </c>
      <c r="B417" s="11" t="s">
        <v>306</v>
      </c>
      <c r="C417" s="11"/>
      <c r="D417" s="12">
        <v>1260</v>
      </c>
      <c r="E417" s="13">
        <v>252</v>
      </c>
      <c r="F417" s="16">
        <f>150/0.95</f>
        <v>157.89473684210526</v>
      </c>
    </row>
    <row r="418" spans="1:6" ht="15" customHeight="1" thickBot="1" x14ac:dyDescent="0.25">
      <c r="A418" s="10" t="s">
        <v>305</v>
      </c>
      <c r="B418" s="11"/>
      <c r="C418" s="11" t="s">
        <v>133</v>
      </c>
      <c r="D418" s="12">
        <v>3825</v>
      </c>
      <c r="E418" s="13">
        <v>750</v>
      </c>
      <c r="F418" s="16"/>
    </row>
    <row r="419" spans="1:6" ht="15" customHeight="1" x14ac:dyDescent="0.2">
      <c r="A419" s="3" t="s">
        <v>307</v>
      </c>
      <c r="B419" s="4"/>
      <c r="C419" s="4"/>
      <c r="D419" s="5"/>
      <c r="E419" s="5"/>
      <c r="F419" s="15"/>
    </row>
    <row r="420" spans="1:6" ht="15" customHeight="1" x14ac:dyDescent="0.2">
      <c r="A420" s="10" t="s">
        <v>307</v>
      </c>
      <c r="B420" s="11" t="s">
        <v>308</v>
      </c>
      <c r="C420" s="11"/>
      <c r="D420" s="12">
        <v>1200</v>
      </c>
      <c r="E420" s="13">
        <v>400</v>
      </c>
      <c r="F420" s="16">
        <f>985/0.56</f>
        <v>1758.9285714285713</v>
      </c>
    </row>
    <row r="421" spans="1:6" ht="15" customHeight="1" x14ac:dyDescent="0.2">
      <c r="A421" s="10" t="s">
        <v>307</v>
      </c>
      <c r="B421" s="11" t="s">
        <v>309</v>
      </c>
      <c r="C421" s="11"/>
      <c r="D421" s="12">
        <v>1750</v>
      </c>
      <c r="E421" s="13">
        <v>326</v>
      </c>
      <c r="F421" s="16">
        <f>200/0.75</f>
        <v>266.66666666666669</v>
      </c>
    </row>
    <row r="422" spans="1:6" ht="15" customHeight="1" thickBot="1" x14ac:dyDescent="0.25">
      <c r="A422" s="10" t="s">
        <v>307</v>
      </c>
      <c r="B422" s="11" t="s">
        <v>310</v>
      </c>
      <c r="C422" s="11"/>
      <c r="D422" s="12">
        <v>800</v>
      </c>
      <c r="E422" s="13">
        <v>400</v>
      </c>
      <c r="F422" s="16">
        <f>985/0.67</f>
        <v>1470.1492537313432</v>
      </c>
    </row>
    <row r="423" spans="1:6" ht="15" customHeight="1" x14ac:dyDescent="0.2">
      <c r="A423" s="3" t="s">
        <v>311</v>
      </c>
      <c r="B423" s="4"/>
      <c r="C423" s="4"/>
      <c r="D423" s="5"/>
      <c r="E423" s="5"/>
      <c r="F423" s="15"/>
    </row>
    <row r="424" spans="1:6" ht="15" customHeight="1" thickBot="1" x14ac:dyDescent="0.25">
      <c r="A424" s="10" t="s">
        <v>311</v>
      </c>
      <c r="B424" s="11" t="s">
        <v>270</v>
      </c>
      <c r="C424" s="11"/>
      <c r="D424" s="12">
        <v>400</v>
      </c>
      <c r="E424" s="13">
        <v>400</v>
      </c>
      <c r="F424" s="16">
        <f>150/1.09</f>
        <v>137.61467889908255</v>
      </c>
    </row>
    <row r="425" spans="1:6" ht="15" customHeight="1" x14ac:dyDescent="0.2">
      <c r="A425" s="3" t="s">
        <v>312</v>
      </c>
      <c r="B425" s="4"/>
      <c r="C425" s="4"/>
      <c r="D425" s="5"/>
      <c r="E425" s="5"/>
      <c r="F425" s="15"/>
    </row>
    <row r="426" spans="1:6" ht="15" customHeight="1" x14ac:dyDescent="0.2">
      <c r="A426" s="10" t="s">
        <v>312</v>
      </c>
      <c r="B426" s="11" t="s">
        <v>18</v>
      </c>
      <c r="C426" s="11"/>
      <c r="D426" s="12">
        <v>430</v>
      </c>
      <c r="E426" s="13">
        <v>425</v>
      </c>
      <c r="F426" s="16">
        <f>150/0.35</f>
        <v>428.57142857142861</v>
      </c>
    </row>
    <row r="427" spans="1:6" ht="15" customHeight="1" x14ac:dyDescent="0.2">
      <c r="A427" s="10" t="s">
        <v>312</v>
      </c>
      <c r="B427" s="11" t="s">
        <v>183</v>
      </c>
      <c r="C427" s="11"/>
      <c r="D427" s="12">
        <v>475</v>
      </c>
      <c r="E427" s="13">
        <v>189</v>
      </c>
      <c r="F427" s="16">
        <f>88/1.37</f>
        <v>64.233576642335763</v>
      </c>
    </row>
    <row r="428" spans="1:6" ht="15" customHeight="1" x14ac:dyDescent="0.2">
      <c r="A428" s="10" t="s">
        <v>312</v>
      </c>
      <c r="B428" s="11" t="s">
        <v>20</v>
      </c>
      <c r="C428" s="11"/>
      <c r="D428" s="12">
        <v>425</v>
      </c>
      <c r="E428" s="13">
        <v>425.25</v>
      </c>
      <c r="F428" s="16">
        <f>150/0.44</f>
        <v>340.90909090909093</v>
      </c>
    </row>
    <row r="429" spans="1:6" ht="15" customHeight="1" x14ac:dyDescent="0.2">
      <c r="A429" s="10" t="s">
        <v>312</v>
      </c>
      <c r="B429" s="11"/>
      <c r="C429" s="11" t="s">
        <v>267</v>
      </c>
      <c r="D429" s="12">
        <v>750</v>
      </c>
      <c r="E429" s="13">
        <v>750</v>
      </c>
      <c r="F429" s="16"/>
    </row>
    <row r="430" spans="1:6" ht="15" customHeight="1" thickBot="1" x14ac:dyDescent="0.25">
      <c r="A430" s="10" t="s">
        <v>312</v>
      </c>
      <c r="B430" s="11"/>
      <c r="C430" s="11" t="s">
        <v>313</v>
      </c>
      <c r="D430" s="12">
        <v>375</v>
      </c>
      <c r="E430" s="13">
        <v>375</v>
      </c>
      <c r="F430" s="16"/>
    </row>
    <row r="431" spans="1:6" ht="15" customHeight="1" x14ac:dyDescent="0.2">
      <c r="A431" s="3" t="s">
        <v>314</v>
      </c>
      <c r="B431" s="4"/>
      <c r="C431" s="4"/>
      <c r="D431" s="5"/>
      <c r="E431" s="5"/>
      <c r="F431" s="15"/>
    </row>
    <row r="432" spans="1:6" ht="15" customHeight="1" thickBot="1" x14ac:dyDescent="0.25">
      <c r="A432" s="10" t="s">
        <v>314</v>
      </c>
      <c r="B432" s="11" t="s">
        <v>230</v>
      </c>
      <c r="C432" s="11"/>
      <c r="D432" s="12">
        <v>400</v>
      </c>
      <c r="E432" s="13">
        <v>400</v>
      </c>
      <c r="F432" s="16">
        <f>985/1.36</f>
        <v>724.26470588235293</v>
      </c>
    </row>
    <row r="433" spans="1:6" ht="15" customHeight="1" x14ac:dyDescent="0.2">
      <c r="A433" s="3" t="s">
        <v>315</v>
      </c>
      <c r="B433" s="4"/>
      <c r="C433" s="4"/>
      <c r="D433" s="5"/>
      <c r="E433" s="5"/>
      <c r="F433" s="15"/>
    </row>
    <row r="434" spans="1:6" ht="15" customHeight="1" x14ac:dyDescent="0.2">
      <c r="A434" s="10" t="s">
        <v>315</v>
      </c>
      <c r="B434" s="11" t="s">
        <v>62</v>
      </c>
      <c r="C434" s="11"/>
      <c r="D434" s="12">
        <v>835</v>
      </c>
      <c r="E434" s="13">
        <v>400</v>
      </c>
      <c r="F434" s="16">
        <f>985/0.61</f>
        <v>1614.7540983606557</v>
      </c>
    </row>
    <row r="435" spans="1:6" ht="15" customHeight="1" thickBot="1" x14ac:dyDescent="0.25">
      <c r="A435" s="10" t="s">
        <v>315</v>
      </c>
      <c r="B435" s="11"/>
      <c r="C435" s="11" t="s">
        <v>316</v>
      </c>
      <c r="D435" s="12">
        <v>995</v>
      </c>
      <c r="E435" s="13">
        <v>750</v>
      </c>
      <c r="F435" s="16"/>
    </row>
    <row r="436" spans="1:6" ht="15" customHeight="1" x14ac:dyDescent="0.2">
      <c r="A436" s="3" t="s">
        <v>317</v>
      </c>
      <c r="B436" s="4"/>
      <c r="C436" s="4"/>
      <c r="D436" s="5"/>
      <c r="E436" s="5"/>
      <c r="F436" s="15"/>
    </row>
    <row r="437" spans="1:6" ht="15" customHeight="1" x14ac:dyDescent="0.2">
      <c r="A437" s="10" t="s">
        <v>317</v>
      </c>
      <c r="B437" s="11" t="s">
        <v>318</v>
      </c>
      <c r="C437" s="11"/>
      <c r="D437" s="12">
        <v>400</v>
      </c>
      <c r="E437" s="13">
        <v>400</v>
      </c>
      <c r="F437" s="16">
        <f>150/1.47</f>
        <v>102.04081632653062</v>
      </c>
    </row>
    <row r="438" spans="1:6" ht="15" customHeight="1" x14ac:dyDescent="0.2">
      <c r="A438" s="10" t="s">
        <v>317</v>
      </c>
      <c r="B438" s="11" t="s">
        <v>157</v>
      </c>
      <c r="C438" s="11"/>
      <c r="D438" s="12">
        <v>850</v>
      </c>
      <c r="E438" s="13">
        <v>240</v>
      </c>
      <c r="F438" s="16">
        <f>90/0.77</f>
        <v>116.88311688311688</v>
      </c>
    </row>
    <row r="439" spans="1:6" ht="15" customHeight="1" thickBot="1" x14ac:dyDescent="0.25">
      <c r="A439" s="10" t="s">
        <v>317</v>
      </c>
      <c r="B439" s="11" t="s">
        <v>9</v>
      </c>
      <c r="C439" s="11"/>
      <c r="D439" s="12">
        <v>600</v>
      </c>
      <c r="E439" s="13">
        <v>400</v>
      </c>
      <c r="F439" s="16">
        <f>365/0.66</f>
        <v>553.030303030303</v>
      </c>
    </row>
    <row r="440" spans="1:6" ht="15" customHeight="1" x14ac:dyDescent="0.2">
      <c r="A440" s="3" t="s">
        <v>319</v>
      </c>
      <c r="B440" s="4"/>
      <c r="C440" s="4"/>
      <c r="D440" s="5"/>
      <c r="E440" s="5"/>
      <c r="F440" s="15"/>
    </row>
    <row r="441" spans="1:6" ht="15" customHeight="1" thickBot="1" x14ac:dyDescent="0.25">
      <c r="A441" s="10" t="s">
        <v>319</v>
      </c>
      <c r="B441" s="11" t="s">
        <v>310</v>
      </c>
      <c r="C441" s="11"/>
      <c r="D441" s="12">
        <v>3830</v>
      </c>
      <c r="E441" s="13">
        <v>400</v>
      </c>
      <c r="F441" s="16">
        <f>985/0.67</f>
        <v>1470.1492537313432</v>
      </c>
    </row>
    <row r="442" spans="1:6" ht="15" customHeight="1" x14ac:dyDescent="0.2">
      <c r="A442" s="3" t="s">
        <v>320</v>
      </c>
      <c r="B442" s="4"/>
      <c r="C442" s="4"/>
      <c r="D442" s="5"/>
      <c r="E442" s="5"/>
      <c r="F442" s="15"/>
    </row>
    <row r="443" spans="1:6" ht="15" customHeight="1" x14ac:dyDescent="0.2">
      <c r="A443" s="10" t="s">
        <v>320</v>
      </c>
      <c r="B443" s="11" t="s">
        <v>321</v>
      </c>
      <c r="C443" s="11"/>
      <c r="D443" s="12">
        <v>6800</v>
      </c>
      <c r="E443" s="13">
        <v>400</v>
      </c>
      <c r="F443" s="16">
        <f>985/1.88</f>
        <v>523.936170212766</v>
      </c>
    </row>
    <row r="444" spans="1:6" ht="15" customHeight="1" x14ac:dyDescent="0.2">
      <c r="A444" s="10" t="s">
        <v>320</v>
      </c>
      <c r="B444" s="11" t="s">
        <v>322</v>
      </c>
      <c r="C444" s="11"/>
      <c r="D444" s="12">
        <v>4800</v>
      </c>
      <c r="E444" s="13">
        <v>400</v>
      </c>
      <c r="F444" s="16">
        <f>985/1.59</f>
        <v>619.49685534591197</v>
      </c>
    </row>
    <row r="445" spans="1:6" ht="15" customHeight="1" x14ac:dyDescent="0.2">
      <c r="A445" s="10" t="s">
        <v>320</v>
      </c>
      <c r="B445" s="11" t="s">
        <v>323</v>
      </c>
      <c r="C445" s="11"/>
      <c r="D445" s="12">
        <v>6800</v>
      </c>
      <c r="E445" s="13">
        <v>400</v>
      </c>
      <c r="F445" s="16">
        <f>985/1.95</f>
        <v>505.12820512820514</v>
      </c>
    </row>
    <row r="446" spans="1:6" ht="15" customHeight="1" thickBot="1" x14ac:dyDescent="0.25">
      <c r="A446" s="10" t="s">
        <v>320</v>
      </c>
      <c r="B446" s="11" t="s">
        <v>25</v>
      </c>
      <c r="C446" s="11"/>
      <c r="D446" s="12">
        <v>10500</v>
      </c>
      <c r="E446" s="13">
        <v>400</v>
      </c>
      <c r="F446" s="16">
        <f>985/2.53</f>
        <v>389.32806324110675</v>
      </c>
    </row>
    <row r="447" spans="1:6" ht="15" customHeight="1" x14ac:dyDescent="0.2">
      <c r="A447" s="3" t="s">
        <v>324</v>
      </c>
      <c r="B447" s="4"/>
      <c r="C447" s="4"/>
      <c r="D447" s="5"/>
      <c r="E447" s="5"/>
      <c r="F447" s="15"/>
    </row>
    <row r="448" spans="1:6" ht="15" customHeight="1" thickBot="1" x14ac:dyDescent="0.25">
      <c r="A448" s="10" t="s">
        <v>324</v>
      </c>
      <c r="B448" s="11" t="s">
        <v>325</v>
      </c>
      <c r="C448" s="11"/>
      <c r="D448" s="12">
        <v>395</v>
      </c>
      <c r="E448" s="13">
        <v>392</v>
      </c>
      <c r="F448" s="16">
        <f>614/2.37</f>
        <v>259.07172995780587</v>
      </c>
    </row>
    <row r="449" spans="1:6" ht="15" customHeight="1" x14ac:dyDescent="0.2">
      <c r="A449" s="3" t="s">
        <v>326</v>
      </c>
      <c r="B449" s="4"/>
      <c r="C449" s="4"/>
      <c r="D449" s="5"/>
      <c r="E449" s="5"/>
      <c r="F449" s="15"/>
    </row>
    <row r="450" spans="1:6" ht="15" customHeight="1" thickBot="1" x14ac:dyDescent="0.25">
      <c r="A450" s="10" t="s">
        <v>326</v>
      </c>
      <c r="B450" s="11" t="s">
        <v>148</v>
      </c>
      <c r="C450" s="11"/>
      <c r="D450" s="12">
        <v>375</v>
      </c>
      <c r="E450" s="13">
        <v>353.25</v>
      </c>
      <c r="F450" s="16">
        <f>343/1.49</f>
        <v>230.20134228187919</v>
      </c>
    </row>
    <row r="451" spans="1:6" ht="15" customHeight="1" x14ac:dyDescent="0.2">
      <c r="A451" s="3" t="s">
        <v>327</v>
      </c>
      <c r="B451" s="4"/>
      <c r="C451" s="4"/>
      <c r="D451" s="5"/>
      <c r="E451" s="5"/>
      <c r="F451" s="15"/>
    </row>
    <row r="452" spans="1:6" ht="15" customHeight="1" thickBot="1" x14ac:dyDescent="0.25">
      <c r="A452" s="10" t="s">
        <v>327</v>
      </c>
      <c r="B452" s="11" t="s">
        <v>180</v>
      </c>
      <c r="C452" s="11"/>
      <c r="D452" s="12">
        <v>400</v>
      </c>
      <c r="E452" s="13">
        <v>400</v>
      </c>
      <c r="F452" s="16">
        <f>299/0.77</f>
        <v>388.31168831168833</v>
      </c>
    </row>
    <row r="453" spans="1:6" ht="15" customHeight="1" x14ac:dyDescent="0.2">
      <c r="A453" s="3" t="s">
        <v>328</v>
      </c>
      <c r="B453" s="4"/>
      <c r="C453" s="4"/>
      <c r="D453" s="5"/>
      <c r="E453" s="5"/>
      <c r="F453" s="15"/>
    </row>
    <row r="454" spans="1:6" ht="15" customHeight="1" x14ac:dyDescent="0.2">
      <c r="A454" s="10" t="s">
        <v>328</v>
      </c>
      <c r="B454" s="11" t="s">
        <v>329</v>
      </c>
      <c r="C454" s="11"/>
      <c r="D454" s="12">
        <v>2400</v>
      </c>
      <c r="E454" s="13">
        <v>240</v>
      </c>
      <c r="F454" s="16">
        <f>275/1.13</f>
        <v>243.36283185840711</v>
      </c>
    </row>
    <row r="455" spans="1:6" ht="15" customHeight="1" x14ac:dyDescent="0.2">
      <c r="A455" s="10" t="s">
        <v>328</v>
      </c>
      <c r="B455" s="11" t="s">
        <v>330</v>
      </c>
      <c r="C455" s="11"/>
      <c r="D455" s="12">
        <v>6770</v>
      </c>
      <c r="E455" s="13">
        <v>367.5</v>
      </c>
      <c r="F455" s="16">
        <f>985/3.28</f>
        <v>300.30487804878049</v>
      </c>
    </row>
    <row r="456" spans="1:6" ht="15" customHeight="1" x14ac:dyDescent="0.2">
      <c r="A456" s="10" t="s">
        <v>328</v>
      </c>
      <c r="B456" s="11" t="s">
        <v>331</v>
      </c>
      <c r="C456" s="11"/>
      <c r="D456" s="12">
        <v>970</v>
      </c>
      <c r="E456" s="13">
        <v>325.5</v>
      </c>
      <c r="F456" s="16">
        <f>132/0.78</f>
        <v>169.23076923076923</v>
      </c>
    </row>
    <row r="457" spans="1:6" ht="15" customHeight="1" x14ac:dyDescent="0.2">
      <c r="A457" s="10" t="s">
        <v>328</v>
      </c>
      <c r="B457" s="11"/>
      <c r="C457" s="11" t="s">
        <v>332</v>
      </c>
      <c r="D457" s="12">
        <v>21225</v>
      </c>
      <c r="E457" s="13">
        <v>750</v>
      </c>
      <c r="F457" s="16"/>
    </row>
    <row r="458" spans="1:6" ht="15" customHeight="1" x14ac:dyDescent="0.2">
      <c r="A458" s="10" t="s">
        <v>328</v>
      </c>
      <c r="B458" s="11"/>
      <c r="C458" s="11" t="s">
        <v>333</v>
      </c>
      <c r="D458" s="12">
        <v>20065</v>
      </c>
      <c r="E458" s="13">
        <v>750</v>
      </c>
      <c r="F458" s="16"/>
    </row>
    <row r="459" spans="1:6" ht="15" customHeight="1" thickBot="1" x14ac:dyDescent="0.25">
      <c r="A459" s="10" t="s">
        <v>328</v>
      </c>
      <c r="B459" s="11"/>
      <c r="C459" s="11" t="s">
        <v>334</v>
      </c>
      <c r="D459" s="12">
        <v>20635</v>
      </c>
      <c r="E459" s="13">
        <v>750</v>
      </c>
      <c r="F459" s="16"/>
    </row>
    <row r="460" spans="1:6" ht="15" customHeight="1" x14ac:dyDescent="0.2">
      <c r="A460" s="3" t="s">
        <v>335</v>
      </c>
      <c r="B460" s="4"/>
      <c r="C460" s="4"/>
      <c r="D460" s="5"/>
      <c r="E460" s="5"/>
      <c r="F460" s="15"/>
    </row>
    <row r="461" spans="1:6" ht="15" customHeight="1" thickBot="1" x14ac:dyDescent="0.25">
      <c r="A461" s="10" t="s">
        <v>335</v>
      </c>
      <c r="B461" s="11"/>
      <c r="C461" s="11" t="s">
        <v>86</v>
      </c>
      <c r="D461" s="12">
        <v>1005</v>
      </c>
      <c r="E461" s="13">
        <v>750</v>
      </c>
      <c r="F461" s="16"/>
    </row>
    <row r="462" spans="1:6" ht="15" customHeight="1" x14ac:dyDescent="0.2">
      <c r="A462" s="3" t="s">
        <v>523</v>
      </c>
      <c r="B462" s="4"/>
      <c r="C462" s="4"/>
      <c r="D462" s="5"/>
      <c r="E462" s="5"/>
      <c r="F462" s="15"/>
    </row>
    <row r="463" spans="1:6" ht="15" customHeight="1" thickBot="1" x14ac:dyDescent="0.25">
      <c r="A463" s="10" t="s">
        <v>336</v>
      </c>
      <c r="B463" s="11"/>
      <c r="C463" s="11" t="s">
        <v>86</v>
      </c>
      <c r="D463" s="12">
        <v>805</v>
      </c>
      <c r="E463" s="13">
        <v>750</v>
      </c>
      <c r="F463" s="16"/>
    </row>
    <row r="464" spans="1:6" ht="15" customHeight="1" x14ac:dyDescent="0.2">
      <c r="A464" s="3" t="s">
        <v>337</v>
      </c>
      <c r="B464" s="4"/>
      <c r="C464" s="4"/>
      <c r="D464" s="5"/>
      <c r="E464" s="5"/>
      <c r="F464" s="15"/>
    </row>
    <row r="465" spans="1:6" ht="15" customHeight="1" x14ac:dyDescent="0.2">
      <c r="A465" s="10" t="s">
        <v>337</v>
      </c>
      <c r="B465" s="11" t="s">
        <v>338</v>
      </c>
      <c r="C465" s="11"/>
      <c r="D465" s="12">
        <v>2870</v>
      </c>
      <c r="E465" s="13">
        <v>717.5</v>
      </c>
      <c r="F465" s="16">
        <f>340/0.94</f>
        <v>361.7021276595745</v>
      </c>
    </row>
    <row r="466" spans="1:6" ht="15" customHeight="1" x14ac:dyDescent="0.2">
      <c r="A466" s="10" t="s">
        <v>337</v>
      </c>
      <c r="B466" s="11" t="s">
        <v>339</v>
      </c>
      <c r="C466" s="11"/>
      <c r="D466" s="12">
        <v>2240</v>
      </c>
      <c r="E466" s="13">
        <v>560</v>
      </c>
      <c r="F466" s="16">
        <f>200/0.53</f>
        <v>377.35849056603774</v>
      </c>
    </row>
    <row r="467" spans="1:6" ht="15" customHeight="1" x14ac:dyDescent="0.2">
      <c r="A467" s="10" t="s">
        <v>337</v>
      </c>
      <c r="B467" s="11" t="s">
        <v>340</v>
      </c>
      <c r="C467" s="11"/>
      <c r="D467" s="12">
        <v>7180</v>
      </c>
      <c r="E467" s="13">
        <v>717.5</v>
      </c>
      <c r="F467" s="16">
        <f>450/1.18</f>
        <v>381.35593220338984</v>
      </c>
    </row>
    <row r="468" spans="1:6" ht="15" customHeight="1" thickBot="1" x14ac:dyDescent="0.25">
      <c r="A468" s="10" t="s">
        <v>337</v>
      </c>
      <c r="B468" s="11"/>
      <c r="C468" s="11" t="s">
        <v>341</v>
      </c>
      <c r="D468" s="12">
        <v>23440</v>
      </c>
      <c r="E468" s="13">
        <v>750</v>
      </c>
      <c r="F468" s="16"/>
    </row>
    <row r="469" spans="1:6" ht="15" customHeight="1" x14ac:dyDescent="0.2">
      <c r="A469" s="3" t="s">
        <v>342</v>
      </c>
      <c r="B469" s="4"/>
      <c r="C469" s="4"/>
      <c r="D469" s="5"/>
      <c r="E469" s="5"/>
      <c r="F469" s="15"/>
    </row>
    <row r="470" spans="1:6" ht="15" customHeight="1" thickBot="1" x14ac:dyDescent="0.25">
      <c r="A470" s="10" t="s">
        <v>342</v>
      </c>
      <c r="B470" s="11"/>
      <c r="C470" s="11" t="s">
        <v>86</v>
      </c>
      <c r="D470" s="12">
        <v>11550</v>
      </c>
      <c r="E470" s="13">
        <v>750</v>
      </c>
      <c r="F470" s="16"/>
    </row>
    <row r="471" spans="1:6" ht="15" customHeight="1" x14ac:dyDescent="0.2">
      <c r="A471" s="3" t="s">
        <v>343</v>
      </c>
      <c r="B471" s="4"/>
      <c r="C471" s="4"/>
      <c r="D471" s="5"/>
      <c r="E471" s="5"/>
      <c r="F471" s="15"/>
    </row>
    <row r="472" spans="1:6" ht="15" customHeight="1" x14ac:dyDescent="0.2">
      <c r="A472" s="10" t="s">
        <v>343</v>
      </c>
      <c r="B472" s="11" t="s">
        <v>344</v>
      </c>
      <c r="C472" s="11"/>
      <c r="D472" s="12">
        <v>2280</v>
      </c>
      <c r="E472" s="13">
        <v>325.5</v>
      </c>
      <c r="F472" s="16">
        <f>250/0.7</f>
        <v>357.14285714285717</v>
      </c>
    </row>
    <row r="473" spans="1:6" ht="15" customHeight="1" x14ac:dyDescent="0.2">
      <c r="A473" s="10" t="s">
        <v>343</v>
      </c>
      <c r="B473" s="11" t="s">
        <v>308</v>
      </c>
      <c r="C473" s="11"/>
      <c r="D473" s="12">
        <v>2800</v>
      </c>
      <c r="E473" s="13">
        <v>400</v>
      </c>
      <c r="F473" s="16">
        <f>985/0.56</f>
        <v>1758.9285714285713</v>
      </c>
    </row>
    <row r="474" spans="1:6" ht="15" customHeight="1" x14ac:dyDescent="0.2">
      <c r="A474" s="10" t="s">
        <v>343</v>
      </c>
      <c r="B474" s="11" t="s">
        <v>309</v>
      </c>
      <c r="C474" s="11"/>
      <c r="D474" s="12">
        <v>1630</v>
      </c>
      <c r="E474" s="13">
        <v>326</v>
      </c>
      <c r="F474" s="16">
        <f>200/0.75</f>
        <v>266.66666666666669</v>
      </c>
    </row>
    <row r="475" spans="1:6" ht="15" customHeight="1" thickBot="1" x14ac:dyDescent="0.25">
      <c r="A475" s="10" t="s">
        <v>343</v>
      </c>
      <c r="B475" s="11" t="s">
        <v>345</v>
      </c>
      <c r="C475" s="11"/>
      <c r="D475" s="12">
        <v>3965</v>
      </c>
      <c r="E475" s="13">
        <v>330</v>
      </c>
      <c r="F475" s="16">
        <v>406.97674418604652</v>
      </c>
    </row>
    <row r="476" spans="1:6" ht="15" customHeight="1" x14ac:dyDescent="0.2">
      <c r="A476" s="3" t="s">
        <v>346</v>
      </c>
      <c r="B476" s="4"/>
      <c r="C476" s="4"/>
      <c r="D476" s="5"/>
      <c r="E476" s="5"/>
      <c r="F476" s="15"/>
    </row>
    <row r="477" spans="1:6" ht="15" customHeight="1" x14ac:dyDescent="0.2">
      <c r="A477" s="10" t="s">
        <v>346</v>
      </c>
      <c r="B477" s="11" t="s">
        <v>8</v>
      </c>
      <c r="C477" s="11"/>
      <c r="D477" s="12">
        <v>2930</v>
      </c>
      <c r="E477" s="13">
        <v>307.5</v>
      </c>
      <c r="F477" s="16">
        <f>220/0.95</f>
        <v>231.57894736842107</v>
      </c>
    </row>
    <row r="478" spans="1:6" ht="15" customHeight="1" thickBot="1" x14ac:dyDescent="0.25">
      <c r="A478" s="10" t="s">
        <v>346</v>
      </c>
      <c r="B478" s="11" t="s">
        <v>118</v>
      </c>
      <c r="C478" s="11"/>
      <c r="D478" s="12">
        <v>2400</v>
      </c>
      <c r="E478" s="13">
        <v>400</v>
      </c>
      <c r="F478" s="16">
        <f>985/0.48</f>
        <v>2052.0833333333335</v>
      </c>
    </row>
    <row r="479" spans="1:6" ht="15" customHeight="1" x14ac:dyDescent="0.2">
      <c r="A479" s="3" t="s">
        <v>347</v>
      </c>
      <c r="B479" s="4"/>
      <c r="C479" s="4"/>
      <c r="D479" s="5"/>
      <c r="E479" s="5"/>
      <c r="F479" s="15"/>
    </row>
    <row r="480" spans="1:6" ht="15" customHeight="1" x14ac:dyDescent="0.2">
      <c r="A480" s="10" t="s">
        <v>347</v>
      </c>
      <c r="B480" s="11" t="s">
        <v>348</v>
      </c>
      <c r="C480" s="11"/>
      <c r="D480" s="12">
        <v>3525</v>
      </c>
      <c r="E480" s="13">
        <v>590</v>
      </c>
      <c r="F480" s="16">
        <f>590/0.78</f>
        <v>756.41025641025635</v>
      </c>
    </row>
    <row r="481" spans="1:6" ht="15" customHeight="1" thickBot="1" x14ac:dyDescent="0.25">
      <c r="A481" s="10" t="s">
        <v>347</v>
      </c>
      <c r="B481" s="11" t="s">
        <v>150</v>
      </c>
      <c r="C481" s="11"/>
      <c r="D481" s="12">
        <v>4200</v>
      </c>
      <c r="E481" s="13">
        <v>350</v>
      </c>
      <c r="F481" s="16">
        <f>250/1.66</f>
        <v>150.60240963855424</v>
      </c>
    </row>
    <row r="482" spans="1:6" ht="15" customHeight="1" x14ac:dyDescent="0.2">
      <c r="A482" s="3" t="s">
        <v>349</v>
      </c>
      <c r="B482" s="4"/>
      <c r="C482" s="4"/>
      <c r="D482" s="5"/>
      <c r="E482" s="5"/>
      <c r="F482" s="15"/>
    </row>
    <row r="483" spans="1:6" ht="15" customHeight="1" x14ac:dyDescent="0.2">
      <c r="A483" s="10" t="s">
        <v>349</v>
      </c>
      <c r="B483" s="11" t="s">
        <v>308</v>
      </c>
      <c r="C483" s="11"/>
      <c r="D483" s="12">
        <v>4000</v>
      </c>
      <c r="E483" s="13">
        <v>400</v>
      </c>
      <c r="F483" s="16">
        <f>985/0.56</f>
        <v>1758.9285714285713</v>
      </c>
    </row>
    <row r="484" spans="1:6" ht="15" customHeight="1" x14ac:dyDescent="0.2">
      <c r="A484" s="10" t="s">
        <v>349</v>
      </c>
      <c r="B484" s="11" t="s">
        <v>309</v>
      </c>
      <c r="C484" s="11"/>
      <c r="D484" s="12">
        <v>3250</v>
      </c>
      <c r="E484" s="13">
        <v>326</v>
      </c>
      <c r="F484" s="16">
        <f>200/0.75</f>
        <v>266.66666666666669</v>
      </c>
    </row>
    <row r="485" spans="1:6" ht="15" customHeight="1" thickBot="1" x14ac:dyDescent="0.25">
      <c r="A485" s="10" t="s">
        <v>349</v>
      </c>
      <c r="B485" s="11"/>
      <c r="C485" s="11" t="s">
        <v>38</v>
      </c>
      <c r="D485" s="12">
        <v>3300</v>
      </c>
      <c r="E485" s="13">
        <v>750</v>
      </c>
      <c r="F485" s="16"/>
    </row>
    <row r="486" spans="1:6" ht="15" customHeight="1" x14ac:dyDescent="0.2">
      <c r="A486" s="3" t="s">
        <v>350</v>
      </c>
      <c r="B486" s="4"/>
      <c r="C486" s="4"/>
      <c r="D486" s="5"/>
      <c r="E486" s="5"/>
      <c r="F486" s="15"/>
    </row>
    <row r="487" spans="1:6" ht="15" customHeight="1" x14ac:dyDescent="0.2">
      <c r="A487" s="10" t="s">
        <v>350</v>
      </c>
      <c r="B487" s="11" t="s">
        <v>32</v>
      </c>
      <c r="C487" s="11"/>
      <c r="D487" s="12">
        <v>800</v>
      </c>
      <c r="E487" s="13">
        <v>263</v>
      </c>
      <c r="F487" s="16">
        <f>200/0.7</f>
        <v>285.71428571428572</v>
      </c>
    </row>
    <row r="488" spans="1:6" ht="15" customHeight="1" x14ac:dyDescent="0.2">
      <c r="A488" s="10" t="s">
        <v>350</v>
      </c>
      <c r="B488" s="11" t="s">
        <v>76</v>
      </c>
      <c r="C488" s="11"/>
      <c r="D488" s="12">
        <v>600</v>
      </c>
      <c r="E488" s="13">
        <v>400</v>
      </c>
      <c r="F488" s="16">
        <f>985/1.08</f>
        <v>912.03703703703695</v>
      </c>
    </row>
    <row r="489" spans="1:6" ht="15" customHeight="1" thickBot="1" x14ac:dyDescent="0.25">
      <c r="A489" s="10" t="s">
        <v>350</v>
      </c>
      <c r="B489" s="11" t="s">
        <v>351</v>
      </c>
      <c r="C489" s="11"/>
      <c r="D489" s="12">
        <v>1545</v>
      </c>
      <c r="E489" s="13">
        <v>400</v>
      </c>
      <c r="F489" s="16">
        <f>985/0.79</f>
        <v>1246.8354430379745</v>
      </c>
    </row>
    <row r="490" spans="1:6" ht="15" customHeight="1" x14ac:dyDescent="0.2">
      <c r="A490" s="3" t="s">
        <v>352</v>
      </c>
      <c r="B490" s="4"/>
      <c r="C490" s="4"/>
      <c r="D490" s="5"/>
      <c r="E490" s="5"/>
      <c r="F490" s="15"/>
    </row>
    <row r="491" spans="1:6" ht="15" customHeight="1" x14ac:dyDescent="0.2">
      <c r="A491" s="10" t="s">
        <v>352</v>
      </c>
      <c r="B491" s="11" t="s">
        <v>344</v>
      </c>
      <c r="C491" s="11"/>
      <c r="D491" s="12">
        <v>975</v>
      </c>
      <c r="E491" s="13">
        <v>326</v>
      </c>
      <c r="F491" s="16">
        <f>250/0.7</f>
        <v>357.14285714285717</v>
      </c>
    </row>
    <row r="492" spans="1:6" ht="15" customHeight="1" thickBot="1" x14ac:dyDescent="0.25">
      <c r="A492" s="10" t="s">
        <v>352</v>
      </c>
      <c r="B492" s="11" t="s">
        <v>150</v>
      </c>
      <c r="C492" s="11"/>
      <c r="D492" s="12">
        <v>1805</v>
      </c>
      <c r="E492" s="13">
        <v>350</v>
      </c>
      <c r="F492" s="16">
        <f>250/1.66</f>
        <v>150.60240963855424</v>
      </c>
    </row>
    <row r="493" spans="1:6" ht="15" customHeight="1" x14ac:dyDescent="0.2">
      <c r="A493" s="3" t="s">
        <v>353</v>
      </c>
      <c r="B493" s="4"/>
      <c r="C493" s="4"/>
      <c r="D493" s="5"/>
      <c r="E493" s="5"/>
      <c r="F493" s="15"/>
    </row>
    <row r="494" spans="1:6" ht="15" customHeight="1" x14ac:dyDescent="0.2">
      <c r="A494" s="10" t="s">
        <v>353</v>
      </c>
      <c r="B494" s="11" t="s">
        <v>145</v>
      </c>
      <c r="C494" s="11"/>
      <c r="D494" s="12">
        <v>400</v>
      </c>
      <c r="E494" s="13">
        <v>400</v>
      </c>
      <c r="F494" s="16">
        <f>328/0.74</f>
        <v>443.24324324324323</v>
      </c>
    </row>
    <row r="495" spans="1:6" ht="15" customHeight="1" x14ac:dyDescent="0.2">
      <c r="A495" s="10" t="s">
        <v>353</v>
      </c>
      <c r="B495" s="11" t="s">
        <v>354</v>
      </c>
      <c r="C495" s="11"/>
      <c r="D495" s="12">
        <v>730</v>
      </c>
      <c r="E495" s="13">
        <v>730</v>
      </c>
      <c r="F495" s="16">
        <f>400/0.49</f>
        <v>816.32653061224494</v>
      </c>
    </row>
    <row r="496" spans="1:6" ht="15" customHeight="1" x14ac:dyDescent="0.2">
      <c r="A496" s="10" t="s">
        <v>353</v>
      </c>
      <c r="B496" s="11" t="s">
        <v>27</v>
      </c>
      <c r="C496" s="11"/>
      <c r="D496" s="12">
        <v>718</v>
      </c>
      <c r="E496" s="13">
        <v>717.5</v>
      </c>
      <c r="F496" s="16">
        <f>250/0.7</f>
        <v>357.14285714285717</v>
      </c>
    </row>
    <row r="497" spans="1:6" ht="15" customHeight="1" thickBot="1" x14ac:dyDescent="0.25">
      <c r="A497" s="10" t="s">
        <v>353</v>
      </c>
      <c r="B497" s="11" t="s">
        <v>28</v>
      </c>
      <c r="C497" s="11"/>
      <c r="D497" s="12">
        <v>685</v>
      </c>
      <c r="E497" s="13">
        <v>275</v>
      </c>
      <c r="F497" s="16">
        <f>475/1.5</f>
        <v>316.66666666666669</v>
      </c>
    </row>
    <row r="498" spans="1:6" ht="15" customHeight="1" x14ac:dyDescent="0.2">
      <c r="A498" s="3" t="s">
        <v>355</v>
      </c>
      <c r="B498" s="4"/>
      <c r="C498" s="4"/>
      <c r="D498" s="5"/>
      <c r="E498" s="5"/>
      <c r="F498" s="15"/>
    </row>
    <row r="499" spans="1:6" ht="15" customHeight="1" thickBot="1" x14ac:dyDescent="0.25">
      <c r="A499" s="10" t="s">
        <v>355</v>
      </c>
      <c r="B499" s="11" t="s">
        <v>36</v>
      </c>
      <c r="C499" s="11"/>
      <c r="D499" s="12">
        <v>1955</v>
      </c>
      <c r="E499" s="13">
        <v>337.5</v>
      </c>
      <c r="F499" s="16">
        <f>540/0.86</f>
        <v>627.90697674418607</v>
      </c>
    </row>
    <row r="500" spans="1:6" ht="15" customHeight="1" x14ac:dyDescent="0.2">
      <c r="A500" s="3" t="s">
        <v>356</v>
      </c>
      <c r="B500" s="4"/>
      <c r="C500" s="4"/>
      <c r="D500" s="5"/>
      <c r="E500" s="5"/>
      <c r="F500" s="15"/>
    </row>
    <row r="501" spans="1:6" ht="15" customHeight="1" x14ac:dyDescent="0.2">
      <c r="A501" s="10" t="s">
        <v>356</v>
      </c>
      <c r="B501" s="11" t="s">
        <v>94</v>
      </c>
      <c r="C501" s="11"/>
      <c r="D501" s="12">
        <v>2200</v>
      </c>
      <c r="E501" s="13">
        <v>392</v>
      </c>
      <c r="F501" s="16">
        <f>150/0.77</f>
        <v>194.80519480519479</v>
      </c>
    </row>
    <row r="502" spans="1:6" ht="15" customHeight="1" thickBot="1" x14ac:dyDescent="0.25">
      <c r="A502" s="10" t="s">
        <v>356</v>
      </c>
      <c r="B502" s="11" t="s">
        <v>95</v>
      </c>
      <c r="C502" s="11"/>
      <c r="D502" s="12">
        <v>2000</v>
      </c>
      <c r="E502" s="13">
        <v>400</v>
      </c>
      <c r="F502" s="16">
        <f>50/1.13</f>
        <v>44.247787610619476</v>
      </c>
    </row>
    <row r="503" spans="1:6" ht="15" customHeight="1" x14ac:dyDescent="0.2">
      <c r="A503" s="3" t="s">
        <v>357</v>
      </c>
      <c r="B503" s="4"/>
      <c r="C503" s="4"/>
      <c r="D503" s="5"/>
      <c r="E503" s="5"/>
      <c r="F503" s="15"/>
    </row>
    <row r="504" spans="1:6" ht="15" customHeight="1" x14ac:dyDescent="0.2">
      <c r="A504" s="10" t="s">
        <v>357</v>
      </c>
      <c r="B504" s="11" t="s">
        <v>318</v>
      </c>
      <c r="C504" s="11"/>
      <c r="D504" s="12">
        <v>6000</v>
      </c>
      <c r="E504" s="13">
        <v>400</v>
      </c>
      <c r="F504" s="16">
        <f>150/1.47</f>
        <v>102.04081632653062</v>
      </c>
    </row>
    <row r="505" spans="1:6" ht="15" customHeight="1" x14ac:dyDescent="0.2">
      <c r="A505" s="10" t="s">
        <v>357</v>
      </c>
      <c r="B505" s="11" t="s">
        <v>358</v>
      </c>
      <c r="C505" s="11"/>
      <c r="D505" s="12">
        <v>6000</v>
      </c>
      <c r="E505" s="13">
        <v>400</v>
      </c>
      <c r="F505" s="16">
        <f>985/0.55</f>
        <v>1790.9090909090908</v>
      </c>
    </row>
    <row r="506" spans="1:6" ht="15" customHeight="1" thickBot="1" x14ac:dyDescent="0.25">
      <c r="A506" s="10" t="s">
        <v>357</v>
      </c>
      <c r="B506" s="11" t="s">
        <v>13</v>
      </c>
      <c r="C506" s="11"/>
      <c r="D506" s="12">
        <v>15685</v>
      </c>
      <c r="E506" s="13">
        <v>400</v>
      </c>
      <c r="F506" s="16">
        <f>985/2.33</f>
        <v>422.7467811158798</v>
      </c>
    </row>
    <row r="507" spans="1:6" ht="15" customHeight="1" x14ac:dyDescent="0.2">
      <c r="A507" s="3" t="s">
        <v>359</v>
      </c>
      <c r="B507" s="4"/>
      <c r="C507" s="4"/>
      <c r="D507" s="5"/>
      <c r="E507" s="5"/>
      <c r="F507" s="15"/>
    </row>
    <row r="508" spans="1:6" ht="15" customHeight="1" thickBot="1" x14ac:dyDescent="0.25">
      <c r="A508" s="10" t="s">
        <v>359</v>
      </c>
      <c r="B508" s="11" t="s">
        <v>148</v>
      </c>
      <c r="C508" s="11"/>
      <c r="D508" s="12">
        <v>353</v>
      </c>
      <c r="E508" s="13">
        <v>353.25</v>
      </c>
      <c r="F508" s="16">
        <f>343/1.49</f>
        <v>230.20134228187919</v>
      </c>
    </row>
    <row r="509" spans="1:6" ht="15" customHeight="1" x14ac:dyDescent="0.2">
      <c r="A509" s="3" t="s">
        <v>360</v>
      </c>
      <c r="B509" s="4"/>
      <c r="C509" s="4"/>
      <c r="D509" s="5"/>
      <c r="E509" s="5"/>
      <c r="F509" s="15"/>
    </row>
    <row r="510" spans="1:6" ht="15" customHeight="1" thickBot="1" x14ac:dyDescent="0.25">
      <c r="A510" s="10" t="s">
        <v>360</v>
      </c>
      <c r="B510" s="11" t="s">
        <v>148</v>
      </c>
      <c r="C510" s="11"/>
      <c r="D510" s="12">
        <v>950</v>
      </c>
      <c r="E510" s="13">
        <v>353.25</v>
      </c>
      <c r="F510" s="16">
        <f>343/1.49</f>
        <v>230.20134228187919</v>
      </c>
    </row>
    <row r="511" spans="1:6" ht="15" customHeight="1" x14ac:dyDescent="0.2">
      <c r="A511" s="3" t="s">
        <v>361</v>
      </c>
      <c r="B511" s="4"/>
      <c r="C511" s="4"/>
      <c r="D511" s="5"/>
      <c r="E511" s="5"/>
      <c r="F511" s="15"/>
    </row>
    <row r="512" spans="1:6" ht="15" customHeight="1" thickBot="1" x14ac:dyDescent="0.25">
      <c r="A512" s="10" t="s">
        <v>361</v>
      </c>
      <c r="B512" s="11"/>
      <c r="C512" s="11" t="s">
        <v>84</v>
      </c>
      <c r="D512" s="12">
        <v>750</v>
      </c>
      <c r="E512" s="13">
        <v>750</v>
      </c>
      <c r="F512" s="16"/>
    </row>
    <row r="513" spans="1:6" ht="15" customHeight="1" x14ac:dyDescent="0.2">
      <c r="A513" s="3" t="s">
        <v>362</v>
      </c>
      <c r="B513" s="4"/>
      <c r="C513" s="4"/>
      <c r="D513" s="5"/>
      <c r="E513" s="5"/>
      <c r="F513" s="15"/>
    </row>
    <row r="514" spans="1:6" ht="15" customHeight="1" thickBot="1" x14ac:dyDescent="0.25">
      <c r="A514" s="10" t="s">
        <v>362</v>
      </c>
      <c r="B514" s="11" t="s">
        <v>139</v>
      </c>
      <c r="C514" s="11"/>
      <c r="D514" s="12">
        <v>4080</v>
      </c>
      <c r="E514" s="13">
        <v>400</v>
      </c>
      <c r="F514" s="16">
        <f>985/2.67</f>
        <v>368.91385767790263</v>
      </c>
    </row>
    <row r="515" spans="1:6" ht="15" customHeight="1" x14ac:dyDescent="0.2">
      <c r="A515" s="3" t="s">
        <v>363</v>
      </c>
      <c r="B515" s="4"/>
      <c r="C515" s="4"/>
      <c r="D515" s="5"/>
      <c r="E515" s="5"/>
      <c r="F515" s="15"/>
    </row>
    <row r="516" spans="1:6" ht="15" customHeight="1" x14ac:dyDescent="0.2">
      <c r="A516" s="10" t="s">
        <v>363</v>
      </c>
      <c r="B516" s="11" t="s">
        <v>22</v>
      </c>
      <c r="C516" s="11"/>
      <c r="D516" s="12">
        <v>3525</v>
      </c>
      <c r="E516" s="13">
        <v>588</v>
      </c>
      <c r="F516" s="16">
        <f>350/0.9</f>
        <v>388.88888888888886</v>
      </c>
    </row>
    <row r="517" spans="1:6" ht="15" customHeight="1" x14ac:dyDescent="0.2">
      <c r="A517" s="10" t="s">
        <v>363</v>
      </c>
      <c r="B517" s="11"/>
      <c r="C517" s="11" t="s">
        <v>316</v>
      </c>
      <c r="D517" s="12">
        <v>1500</v>
      </c>
      <c r="E517" s="13">
        <v>750</v>
      </c>
      <c r="F517" s="16"/>
    </row>
    <row r="518" spans="1:6" ht="15" customHeight="1" thickBot="1" x14ac:dyDescent="0.25">
      <c r="A518" s="10" t="s">
        <v>363</v>
      </c>
      <c r="B518" s="11"/>
      <c r="C518" s="11" t="s">
        <v>364</v>
      </c>
      <c r="D518" s="12">
        <v>8920</v>
      </c>
      <c r="E518" s="13">
        <v>750</v>
      </c>
      <c r="F518" s="16"/>
    </row>
    <row r="519" spans="1:6" ht="15" customHeight="1" x14ac:dyDescent="0.2">
      <c r="A519" s="3" t="s">
        <v>365</v>
      </c>
      <c r="B519" s="4"/>
      <c r="C519" s="4"/>
      <c r="D519" s="5"/>
      <c r="E519" s="5"/>
      <c r="F519" s="15"/>
    </row>
    <row r="520" spans="1:6" ht="15" customHeight="1" x14ac:dyDescent="0.2">
      <c r="A520" s="10" t="s">
        <v>365</v>
      </c>
      <c r="B520" s="11" t="s">
        <v>366</v>
      </c>
      <c r="C520" s="11"/>
      <c r="D520" s="12">
        <v>1260</v>
      </c>
      <c r="E520" s="13">
        <v>252</v>
      </c>
      <c r="F520" s="16">
        <f>300/0.94</f>
        <v>319.14893617021278</v>
      </c>
    </row>
    <row r="521" spans="1:6" ht="15" customHeight="1" x14ac:dyDescent="0.2">
      <c r="A521" s="10" t="s">
        <v>365</v>
      </c>
      <c r="B521" s="11" t="s">
        <v>367</v>
      </c>
      <c r="C521" s="11"/>
      <c r="D521" s="12">
        <v>1260</v>
      </c>
      <c r="E521" s="13">
        <v>252</v>
      </c>
      <c r="F521" s="16">
        <f>300/1.03</f>
        <v>291.26213592233012</v>
      </c>
    </row>
    <row r="522" spans="1:6" ht="15" customHeight="1" x14ac:dyDescent="0.2">
      <c r="A522" s="10" t="s">
        <v>365</v>
      </c>
      <c r="B522" s="11" t="s">
        <v>368</v>
      </c>
      <c r="C522" s="11"/>
      <c r="D522" s="12">
        <v>4705</v>
      </c>
      <c r="E522" s="13">
        <v>350</v>
      </c>
      <c r="F522" s="16">
        <v>0</v>
      </c>
    </row>
    <row r="523" spans="1:6" ht="15" customHeight="1" x14ac:dyDescent="0.2">
      <c r="A523" s="10" t="s">
        <v>365</v>
      </c>
      <c r="B523" s="11" t="s">
        <v>369</v>
      </c>
      <c r="C523" s="11"/>
      <c r="D523" s="12">
        <v>1330</v>
      </c>
      <c r="E523" s="13">
        <v>190</v>
      </c>
      <c r="F523" s="16">
        <f>955/6.54</f>
        <v>146.02446483180427</v>
      </c>
    </row>
    <row r="524" spans="1:6" ht="15" customHeight="1" x14ac:dyDescent="0.2">
      <c r="A524" s="10" t="s">
        <v>365</v>
      </c>
      <c r="B524" s="11" t="s">
        <v>370</v>
      </c>
      <c r="C524" s="11"/>
      <c r="D524" s="12">
        <v>3315</v>
      </c>
      <c r="E524" s="13">
        <v>221</v>
      </c>
      <c r="F524" s="16">
        <f>175/2.3</f>
        <v>76.08695652173914</v>
      </c>
    </row>
    <row r="525" spans="1:6" ht="15" customHeight="1" x14ac:dyDescent="0.2">
      <c r="A525" s="10" t="s">
        <v>365</v>
      </c>
      <c r="B525" s="11" t="s">
        <v>371</v>
      </c>
      <c r="C525" s="11"/>
      <c r="D525" s="12">
        <v>3315</v>
      </c>
      <c r="E525" s="13">
        <v>221</v>
      </c>
      <c r="F525" s="16">
        <f>175/2.3</f>
        <v>76.08695652173914</v>
      </c>
    </row>
    <row r="526" spans="1:6" ht="15" customHeight="1" x14ac:dyDescent="0.2">
      <c r="A526" s="10" t="s">
        <v>365</v>
      </c>
      <c r="B526" s="11"/>
      <c r="C526" s="11" t="s">
        <v>316</v>
      </c>
      <c r="D526" s="12">
        <v>12100</v>
      </c>
      <c r="E526" s="13">
        <v>750</v>
      </c>
      <c r="F526" s="16"/>
    </row>
    <row r="527" spans="1:6" ht="15" customHeight="1" x14ac:dyDescent="0.2">
      <c r="A527" s="10" t="s">
        <v>365</v>
      </c>
      <c r="B527" s="11"/>
      <c r="C527" s="11" t="s">
        <v>115</v>
      </c>
      <c r="D527" s="12">
        <v>12100</v>
      </c>
      <c r="E527" s="13">
        <v>375</v>
      </c>
      <c r="F527" s="16"/>
    </row>
    <row r="528" spans="1:6" ht="15" customHeight="1" thickBot="1" x14ac:dyDescent="0.25">
      <c r="A528" s="10" t="s">
        <v>365</v>
      </c>
      <c r="B528" s="11"/>
      <c r="C528" s="11" t="s">
        <v>372</v>
      </c>
      <c r="D528" s="12">
        <v>12100</v>
      </c>
      <c r="E528" s="13">
        <v>375</v>
      </c>
      <c r="F528" s="16"/>
    </row>
    <row r="529" spans="1:6" ht="15" customHeight="1" x14ac:dyDescent="0.2">
      <c r="A529" s="3" t="s">
        <v>373</v>
      </c>
      <c r="B529" s="4"/>
      <c r="C529" s="4"/>
      <c r="D529" s="5"/>
      <c r="E529" s="5"/>
      <c r="F529" s="15"/>
    </row>
    <row r="530" spans="1:6" ht="15" customHeight="1" x14ac:dyDescent="0.2">
      <c r="A530" s="10" t="s">
        <v>373</v>
      </c>
      <c r="B530" s="11" t="s">
        <v>95</v>
      </c>
      <c r="C530" s="11"/>
      <c r="D530" s="12">
        <v>1200</v>
      </c>
      <c r="E530" s="13">
        <v>400</v>
      </c>
      <c r="F530" s="16">
        <f>50/1.13</f>
        <v>44.247787610619476</v>
      </c>
    </row>
    <row r="531" spans="1:6" ht="15" customHeight="1" thickBot="1" x14ac:dyDescent="0.25">
      <c r="A531" s="10" t="s">
        <v>373</v>
      </c>
      <c r="B531" s="11"/>
      <c r="C531" s="11" t="s">
        <v>133</v>
      </c>
      <c r="D531" s="12">
        <v>5725</v>
      </c>
      <c r="E531" s="13">
        <v>750</v>
      </c>
      <c r="F531" s="16"/>
    </row>
    <row r="532" spans="1:6" ht="15" customHeight="1" x14ac:dyDescent="0.2">
      <c r="A532" s="3" t="s">
        <v>374</v>
      </c>
      <c r="B532" s="4"/>
      <c r="C532" s="4"/>
      <c r="D532" s="5"/>
      <c r="E532" s="5"/>
      <c r="F532" s="15"/>
    </row>
    <row r="533" spans="1:6" ht="15" customHeight="1" x14ac:dyDescent="0.2">
      <c r="A533" s="10" t="s">
        <v>374</v>
      </c>
      <c r="B533" s="11" t="s">
        <v>375</v>
      </c>
      <c r="C533" s="11"/>
      <c r="D533" s="12">
        <v>725</v>
      </c>
      <c r="E533" s="13">
        <v>241.25</v>
      </c>
      <c r="F533" s="16">
        <f>350/1.19</f>
        <v>294.11764705882354</v>
      </c>
    </row>
    <row r="534" spans="1:6" ht="15" customHeight="1" x14ac:dyDescent="0.2">
      <c r="A534" s="10" t="s">
        <v>374</v>
      </c>
      <c r="B534" s="11" t="s">
        <v>376</v>
      </c>
      <c r="C534" s="11"/>
      <c r="D534" s="12">
        <v>1200</v>
      </c>
      <c r="E534" s="13">
        <v>400</v>
      </c>
      <c r="F534" s="16">
        <f>985/0.84</f>
        <v>1172.6190476190477</v>
      </c>
    </row>
    <row r="535" spans="1:6" ht="15" customHeight="1" x14ac:dyDescent="0.2">
      <c r="A535" s="10" t="s">
        <v>374</v>
      </c>
      <c r="B535" s="11" t="s">
        <v>377</v>
      </c>
      <c r="C535" s="11"/>
      <c r="D535" s="12">
        <v>864</v>
      </c>
      <c r="E535" s="13">
        <v>288</v>
      </c>
      <c r="F535" s="16">
        <f>125/0.64</f>
        <v>195.3125</v>
      </c>
    </row>
    <row r="536" spans="1:6" ht="15" customHeight="1" x14ac:dyDescent="0.2">
      <c r="A536" s="10" t="s">
        <v>374</v>
      </c>
      <c r="B536" s="11" t="s">
        <v>57</v>
      </c>
      <c r="C536" s="11"/>
      <c r="D536" s="12">
        <v>15795</v>
      </c>
      <c r="E536" s="13">
        <v>717.5</v>
      </c>
      <c r="F536" s="16">
        <f>473/1.01</f>
        <v>468.31683168316829</v>
      </c>
    </row>
    <row r="537" spans="1:6" ht="15" customHeight="1" x14ac:dyDescent="0.2">
      <c r="A537" s="10" t="s">
        <v>374</v>
      </c>
      <c r="B537" s="11" t="s">
        <v>58</v>
      </c>
      <c r="C537" s="11"/>
      <c r="D537" s="12">
        <v>2150</v>
      </c>
      <c r="E537" s="13">
        <v>717.5</v>
      </c>
      <c r="F537" s="16">
        <f>473/0.92</f>
        <v>514.13043478260863</v>
      </c>
    </row>
    <row r="538" spans="1:6" ht="15" customHeight="1" thickBot="1" x14ac:dyDescent="0.25">
      <c r="A538" s="10" t="s">
        <v>374</v>
      </c>
      <c r="B538" s="11"/>
      <c r="C538" s="11" t="s">
        <v>378</v>
      </c>
      <c r="D538" s="12">
        <v>18480</v>
      </c>
      <c r="E538" s="13">
        <v>750</v>
      </c>
      <c r="F538" s="16"/>
    </row>
    <row r="539" spans="1:6" ht="15" customHeight="1" x14ac:dyDescent="0.2">
      <c r="A539" s="3" t="s">
        <v>379</v>
      </c>
      <c r="B539" s="4"/>
      <c r="C539" s="4"/>
      <c r="D539" s="5"/>
      <c r="E539" s="5"/>
      <c r="F539" s="15"/>
    </row>
    <row r="540" spans="1:6" ht="15" customHeight="1" thickBot="1" x14ac:dyDescent="0.25">
      <c r="A540" s="10" t="s">
        <v>379</v>
      </c>
      <c r="B540" s="11"/>
      <c r="C540" s="11" t="s">
        <v>86</v>
      </c>
      <c r="D540" s="12">
        <v>750</v>
      </c>
      <c r="E540" s="13">
        <v>750</v>
      </c>
      <c r="F540" s="16"/>
    </row>
    <row r="541" spans="1:6" ht="15" customHeight="1" x14ac:dyDescent="0.2">
      <c r="A541" s="3" t="s">
        <v>380</v>
      </c>
      <c r="B541" s="4"/>
      <c r="C541" s="4"/>
      <c r="D541" s="5"/>
      <c r="E541" s="5"/>
      <c r="F541" s="15"/>
    </row>
    <row r="542" spans="1:6" ht="15" customHeight="1" thickBot="1" x14ac:dyDescent="0.25">
      <c r="A542" s="10" t="s">
        <v>380</v>
      </c>
      <c r="B542" s="11" t="s">
        <v>110</v>
      </c>
      <c r="C542" s="11"/>
      <c r="D542" s="12">
        <v>1890</v>
      </c>
      <c r="E542" s="13">
        <v>400</v>
      </c>
      <c r="F542" s="16">
        <f>985/2.25</f>
        <v>437.77777777777777</v>
      </c>
    </row>
    <row r="543" spans="1:6" ht="15" customHeight="1" x14ac:dyDescent="0.2">
      <c r="A543" s="3" t="s">
        <v>381</v>
      </c>
      <c r="B543" s="4"/>
      <c r="C543" s="4"/>
      <c r="D543" s="5"/>
      <c r="E543" s="5"/>
      <c r="F543" s="15"/>
    </row>
    <row r="544" spans="1:6" ht="15" customHeight="1" x14ac:dyDescent="0.2">
      <c r="A544" s="10" t="s">
        <v>381</v>
      </c>
      <c r="B544" s="11" t="s">
        <v>382</v>
      </c>
      <c r="C544" s="11"/>
      <c r="D544" s="12">
        <v>8000</v>
      </c>
      <c r="E544" s="13">
        <v>400</v>
      </c>
      <c r="F544" s="16">
        <f>985/4.31</f>
        <v>228.53828306264504</v>
      </c>
    </row>
    <row r="545" spans="1:6" ht="15" customHeight="1" x14ac:dyDescent="0.2">
      <c r="A545" s="10" t="s">
        <v>381</v>
      </c>
      <c r="B545" s="11" t="s">
        <v>383</v>
      </c>
      <c r="C545" s="11"/>
      <c r="D545" s="12">
        <v>4800</v>
      </c>
      <c r="E545" s="13">
        <v>600</v>
      </c>
      <c r="F545" s="16">
        <f>200/0.68</f>
        <v>294.11764705882354</v>
      </c>
    </row>
    <row r="546" spans="1:6" ht="15" customHeight="1" x14ac:dyDescent="0.2">
      <c r="A546" s="10" t="s">
        <v>381</v>
      </c>
      <c r="B546" s="11" t="s">
        <v>384</v>
      </c>
      <c r="C546" s="11"/>
      <c r="D546" s="12">
        <v>3200</v>
      </c>
      <c r="E546" s="13">
        <v>400</v>
      </c>
      <c r="F546" s="16">
        <f>985/1.75</f>
        <v>562.85714285714289</v>
      </c>
    </row>
    <row r="547" spans="1:6" ht="15" customHeight="1" x14ac:dyDescent="0.2">
      <c r="A547" s="10" t="s">
        <v>381</v>
      </c>
      <c r="B547" s="11" t="s">
        <v>385</v>
      </c>
      <c r="C547" s="11"/>
      <c r="D547" s="12">
        <v>6000</v>
      </c>
      <c r="E547" s="13">
        <v>400</v>
      </c>
      <c r="F547" s="16">
        <f>895/8.19</f>
        <v>109.27960927960929</v>
      </c>
    </row>
    <row r="548" spans="1:6" ht="15" customHeight="1" x14ac:dyDescent="0.2">
      <c r="A548" s="10" t="s">
        <v>381</v>
      </c>
      <c r="B548" s="11"/>
      <c r="C548" s="11" t="s">
        <v>238</v>
      </c>
      <c r="D548" s="12">
        <v>17875</v>
      </c>
      <c r="E548" s="13">
        <v>750</v>
      </c>
      <c r="F548" s="16"/>
    </row>
    <row r="549" spans="1:6" ht="15" customHeight="1" x14ac:dyDescent="0.2">
      <c r="A549" s="10" t="s">
        <v>381</v>
      </c>
      <c r="B549" s="11"/>
      <c r="C549" s="11" t="s">
        <v>178</v>
      </c>
      <c r="D549" s="12">
        <v>12500</v>
      </c>
      <c r="E549" s="13">
        <v>750</v>
      </c>
      <c r="F549" s="16"/>
    </row>
    <row r="550" spans="1:6" ht="15" customHeight="1" thickBot="1" x14ac:dyDescent="0.25">
      <c r="A550" s="10" t="s">
        <v>381</v>
      </c>
      <c r="B550" s="11"/>
      <c r="C550" s="11" t="s">
        <v>313</v>
      </c>
      <c r="D550" s="12">
        <v>12500</v>
      </c>
      <c r="E550" s="13">
        <v>375</v>
      </c>
      <c r="F550" s="16"/>
    </row>
    <row r="551" spans="1:6" ht="15" customHeight="1" x14ac:dyDescent="0.2">
      <c r="A551" s="3" t="s">
        <v>386</v>
      </c>
      <c r="B551" s="4"/>
      <c r="C551" s="4"/>
      <c r="D551" s="5"/>
      <c r="E551" s="5"/>
      <c r="F551" s="15"/>
    </row>
    <row r="552" spans="1:6" ht="15" customHeight="1" x14ac:dyDescent="0.2">
      <c r="A552" s="10" t="s">
        <v>386</v>
      </c>
      <c r="B552" s="11" t="s">
        <v>323</v>
      </c>
      <c r="C552" s="11"/>
      <c r="D552" s="12">
        <v>1000</v>
      </c>
      <c r="E552" s="13">
        <v>400</v>
      </c>
      <c r="F552" s="16">
        <f>985/1.95</f>
        <v>505.12820512820514</v>
      </c>
    </row>
    <row r="553" spans="1:6" ht="15" customHeight="1" thickBot="1" x14ac:dyDescent="0.25">
      <c r="A553" s="10" t="s">
        <v>386</v>
      </c>
      <c r="B553" s="11" t="s">
        <v>387</v>
      </c>
      <c r="C553" s="11"/>
      <c r="D553" s="12">
        <v>1005</v>
      </c>
      <c r="E553" s="13">
        <v>400</v>
      </c>
      <c r="F553" s="16">
        <f>985/2.53</f>
        <v>389.32806324110675</v>
      </c>
    </row>
    <row r="554" spans="1:6" ht="15" customHeight="1" x14ac:dyDescent="0.2">
      <c r="A554" s="3" t="s">
        <v>388</v>
      </c>
      <c r="B554" s="4"/>
      <c r="C554" s="4"/>
      <c r="D554" s="5"/>
      <c r="E554" s="5"/>
      <c r="F554" s="15"/>
    </row>
    <row r="555" spans="1:6" ht="15" customHeight="1" thickBot="1" x14ac:dyDescent="0.25">
      <c r="A555" s="10" t="s">
        <v>388</v>
      </c>
      <c r="B555" s="11" t="s">
        <v>118</v>
      </c>
      <c r="C555" s="11"/>
      <c r="D555" s="12">
        <v>3540</v>
      </c>
      <c r="E555" s="13">
        <v>400</v>
      </c>
      <c r="F555" s="16">
        <f>985/0.48</f>
        <v>2052.0833333333335</v>
      </c>
    </row>
    <row r="556" spans="1:6" ht="15" customHeight="1" x14ac:dyDescent="0.2">
      <c r="A556" s="3" t="s">
        <v>389</v>
      </c>
      <c r="B556" s="4"/>
      <c r="C556" s="4"/>
      <c r="D556" s="5"/>
      <c r="E556" s="5"/>
      <c r="F556" s="15"/>
    </row>
    <row r="557" spans="1:6" ht="15" customHeight="1" x14ac:dyDescent="0.2">
      <c r="A557" s="10" t="s">
        <v>389</v>
      </c>
      <c r="B557" s="11" t="s">
        <v>153</v>
      </c>
      <c r="C557" s="11"/>
      <c r="D557" s="12">
        <v>2800</v>
      </c>
      <c r="E557" s="13">
        <v>400</v>
      </c>
      <c r="F557" s="16">
        <f>985/3.64</f>
        <v>270.60439560439562</v>
      </c>
    </row>
    <row r="558" spans="1:6" ht="15" customHeight="1" thickBot="1" x14ac:dyDescent="0.25">
      <c r="A558" s="10" t="s">
        <v>389</v>
      </c>
      <c r="B558" s="11"/>
      <c r="C558" s="11" t="s">
        <v>267</v>
      </c>
      <c r="D558" s="12">
        <v>5010</v>
      </c>
      <c r="E558" s="13">
        <v>750</v>
      </c>
      <c r="F558" s="16"/>
    </row>
    <row r="559" spans="1:6" ht="15" customHeight="1" x14ac:dyDescent="0.2">
      <c r="A559" s="3" t="s">
        <v>390</v>
      </c>
      <c r="B559" s="4"/>
      <c r="C559" s="4"/>
      <c r="D559" s="5"/>
      <c r="E559" s="5"/>
      <c r="F559" s="15"/>
    </row>
    <row r="560" spans="1:6" ht="15" customHeight="1" x14ac:dyDescent="0.2">
      <c r="A560" s="10" t="s">
        <v>390</v>
      </c>
      <c r="B560" s="11" t="s">
        <v>318</v>
      </c>
      <c r="C560" s="11"/>
      <c r="D560" s="12">
        <v>800</v>
      </c>
      <c r="E560" s="13">
        <v>400</v>
      </c>
      <c r="F560" s="16">
        <f>150/1.47</f>
        <v>102.04081632653062</v>
      </c>
    </row>
    <row r="561" spans="1:6" ht="15" customHeight="1" x14ac:dyDescent="0.2">
      <c r="A561" s="10" t="s">
        <v>390</v>
      </c>
      <c r="B561" s="11" t="s">
        <v>391</v>
      </c>
      <c r="C561" s="11"/>
      <c r="D561" s="12">
        <v>650</v>
      </c>
      <c r="E561" s="13">
        <v>330</v>
      </c>
      <c r="F561" s="16">
        <f>150/0.63</f>
        <v>238.0952380952381</v>
      </c>
    </row>
    <row r="562" spans="1:6" ht="15" customHeight="1" x14ac:dyDescent="0.2">
      <c r="A562" s="10" t="s">
        <v>390</v>
      </c>
      <c r="B562" s="11" t="s">
        <v>392</v>
      </c>
      <c r="C562" s="11"/>
      <c r="D562" s="12">
        <v>550</v>
      </c>
      <c r="E562" s="13">
        <v>268.75</v>
      </c>
      <c r="F562" s="16">
        <f>330/0.77</f>
        <v>428.57142857142856</v>
      </c>
    </row>
    <row r="563" spans="1:6" ht="15" customHeight="1" x14ac:dyDescent="0.2">
      <c r="A563" s="10" t="s">
        <v>390</v>
      </c>
      <c r="B563" s="11" t="s">
        <v>153</v>
      </c>
      <c r="C563" s="11"/>
      <c r="D563" s="12">
        <v>3200</v>
      </c>
      <c r="E563" s="13">
        <v>400</v>
      </c>
      <c r="F563" s="16">
        <f>985/3.64</f>
        <v>270.60439560439562</v>
      </c>
    </row>
    <row r="564" spans="1:6" ht="15" customHeight="1" thickBot="1" x14ac:dyDescent="0.25">
      <c r="A564" s="10" t="s">
        <v>390</v>
      </c>
      <c r="B564" s="11"/>
      <c r="C564" s="11" t="s">
        <v>267</v>
      </c>
      <c r="D564" s="12">
        <v>8325</v>
      </c>
      <c r="E564" s="13">
        <v>750</v>
      </c>
      <c r="F564" s="16"/>
    </row>
    <row r="565" spans="1:6" ht="15" customHeight="1" x14ac:dyDescent="0.2">
      <c r="A565" s="3" t="s">
        <v>393</v>
      </c>
      <c r="B565" s="4"/>
      <c r="C565" s="4"/>
      <c r="D565" s="5"/>
      <c r="E565" s="5"/>
      <c r="F565" s="15"/>
    </row>
    <row r="566" spans="1:6" ht="15" customHeight="1" x14ac:dyDescent="0.2">
      <c r="A566" s="10" t="s">
        <v>393</v>
      </c>
      <c r="B566" s="11" t="s">
        <v>192</v>
      </c>
      <c r="C566" s="11"/>
      <c r="D566" s="12">
        <v>1300</v>
      </c>
      <c r="E566" s="13">
        <v>432</v>
      </c>
      <c r="F566" s="16">
        <f>300/0.51</f>
        <v>588.23529411764707</v>
      </c>
    </row>
    <row r="567" spans="1:6" ht="15" customHeight="1" thickBot="1" x14ac:dyDescent="0.25">
      <c r="A567" s="10" t="s">
        <v>393</v>
      </c>
      <c r="B567" s="11" t="s">
        <v>80</v>
      </c>
      <c r="C567" s="11"/>
      <c r="D567" s="12">
        <v>1705</v>
      </c>
      <c r="E567" s="13">
        <v>400</v>
      </c>
      <c r="F567" s="16">
        <f>399/1.14</f>
        <v>350.00000000000006</v>
      </c>
    </row>
    <row r="568" spans="1:6" ht="15" customHeight="1" x14ac:dyDescent="0.2">
      <c r="A568" s="3" t="s">
        <v>394</v>
      </c>
      <c r="B568" s="4"/>
      <c r="C568" s="4"/>
      <c r="D568" s="5"/>
      <c r="E568" s="5"/>
      <c r="F568" s="15"/>
    </row>
    <row r="569" spans="1:6" ht="15" customHeight="1" x14ac:dyDescent="0.2">
      <c r="A569" s="10" t="s">
        <v>394</v>
      </c>
      <c r="B569" s="11" t="s">
        <v>395</v>
      </c>
      <c r="C569" s="11"/>
      <c r="D569" s="12">
        <v>3025</v>
      </c>
      <c r="E569" s="13">
        <v>432</v>
      </c>
      <c r="F569" s="16">
        <f>300/0.51</f>
        <v>588.23529411764707</v>
      </c>
    </row>
    <row r="570" spans="1:6" ht="15" customHeight="1" thickBot="1" x14ac:dyDescent="0.25">
      <c r="A570" s="10" t="s">
        <v>394</v>
      </c>
      <c r="B570" s="11" t="s">
        <v>80</v>
      </c>
      <c r="C570" s="11"/>
      <c r="D570" s="12">
        <v>2810</v>
      </c>
      <c r="E570" s="13">
        <v>400</v>
      </c>
      <c r="F570" s="16">
        <f>399/1.14</f>
        <v>350.00000000000006</v>
      </c>
    </row>
    <row r="571" spans="1:6" ht="15" customHeight="1" x14ac:dyDescent="0.2">
      <c r="A571" s="3" t="s">
        <v>396</v>
      </c>
      <c r="B571" s="4"/>
      <c r="C571" s="4"/>
      <c r="D571" s="5"/>
      <c r="E571" s="5"/>
      <c r="F571" s="15"/>
    </row>
    <row r="572" spans="1:6" ht="15" customHeight="1" thickBot="1" x14ac:dyDescent="0.25">
      <c r="A572" s="10" t="s">
        <v>396</v>
      </c>
      <c r="B572" s="11" t="s">
        <v>24</v>
      </c>
      <c r="C572" s="11"/>
      <c r="D572" s="12">
        <v>2645</v>
      </c>
      <c r="E572" s="13">
        <v>743</v>
      </c>
      <c r="F572" s="16">
        <f>985/0.69</f>
        <v>1427.536231884058</v>
      </c>
    </row>
    <row r="573" spans="1:6" ht="15" customHeight="1" x14ac:dyDescent="0.2">
      <c r="A573" s="3" t="s">
        <v>397</v>
      </c>
      <c r="B573" s="4"/>
      <c r="C573" s="4"/>
      <c r="D573" s="5"/>
      <c r="E573" s="5"/>
      <c r="F573" s="15"/>
    </row>
    <row r="574" spans="1:6" ht="15" customHeight="1" thickBot="1" x14ac:dyDescent="0.25">
      <c r="A574" s="10" t="s">
        <v>397</v>
      </c>
      <c r="B574" s="11" t="s">
        <v>44</v>
      </c>
      <c r="C574" s="11"/>
      <c r="D574" s="12">
        <v>2050</v>
      </c>
      <c r="E574" s="13">
        <v>330</v>
      </c>
      <c r="F574" s="16">
        <f>300/0.79</f>
        <v>379.74683544303798</v>
      </c>
    </row>
    <row r="575" spans="1:6" ht="15" customHeight="1" x14ac:dyDescent="0.2">
      <c r="A575" s="3" t="s">
        <v>398</v>
      </c>
      <c r="B575" s="4"/>
      <c r="C575" s="4"/>
      <c r="D575" s="5"/>
      <c r="E575" s="5"/>
      <c r="F575" s="15"/>
    </row>
    <row r="576" spans="1:6" ht="15" customHeight="1" thickBot="1" x14ac:dyDescent="0.25">
      <c r="A576" s="10" t="s">
        <v>398</v>
      </c>
      <c r="B576" s="11" t="s">
        <v>55</v>
      </c>
      <c r="C576" s="11"/>
      <c r="D576" s="12">
        <v>718</v>
      </c>
      <c r="E576" s="13">
        <v>718</v>
      </c>
      <c r="F576" s="16">
        <f>600/1.56</f>
        <v>384.61538461538458</v>
      </c>
    </row>
    <row r="577" spans="1:6" ht="15" customHeight="1" x14ac:dyDescent="0.2">
      <c r="A577" s="3" t="s">
        <v>399</v>
      </c>
      <c r="B577" s="4"/>
      <c r="C577" s="4"/>
      <c r="D577" s="5"/>
      <c r="E577" s="5"/>
      <c r="F577" s="15"/>
    </row>
    <row r="578" spans="1:6" ht="15" customHeight="1" x14ac:dyDescent="0.2">
      <c r="A578" s="10" t="s">
        <v>399</v>
      </c>
      <c r="B578" s="11" t="s">
        <v>318</v>
      </c>
      <c r="C578" s="11"/>
      <c r="D578" s="12">
        <v>10000</v>
      </c>
      <c r="E578" s="13">
        <v>400</v>
      </c>
      <c r="F578" s="16">
        <f>150/1.47</f>
        <v>102.04081632653062</v>
      </c>
    </row>
    <row r="579" spans="1:6" ht="15" customHeight="1" x14ac:dyDescent="0.2">
      <c r="A579" s="10" t="s">
        <v>399</v>
      </c>
      <c r="B579" s="11" t="s">
        <v>400</v>
      </c>
      <c r="C579" s="11"/>
      <c r="D579" s="12">
        <v>6000</v>
      </c>
      <c r="E579" s="13">
        <v>400</v>
      </c>
      <c r="F579" s="16">
        <f>150/0.49</f>
        <v>306.12244897959187</v>
      </c>
    </row>
    <row r="580" spans="1:6" ht="15" customHeight="1" x14ac:dyDescent="0.2">
      <c r="A580" s="10" t="s">
        <v>399</v>
      </c>
      <c r="B580" s="11" t="s">
        <v>401</v>
      </c>
      <c r="C580" s="11"/>
      <c r="D580" s="12">
        <v>3600</v>
      </c>
      <c r="E580" s="13">
        <v>240</v>
      </c>
      <c r="F580" s="16">
        <f>90/0.77</f>
        <v>116.88311688311688</v>
      </c>
    </row>
    <row r="581" spans="1:6" ht="15" customHeight="1" x14ac:dyDescent="0.2">
      <c r="A581" s="10" t="s">
        <v>399</v>
      </c>
      <c r="B581" s="11" t="s">
        <v>402</v>
      </c>
      <c r="C581" s="11"/>
      <c r="D581" s="12">
        <v>6000</v>
      </c>
      <c r="E581" s="13">
        <v>400</v>
      </c>
      <c r="F581" s="16">
        <f>150/0.49</f>
        <v>306.12244897959187</v>
      </c>
    </row>
    <row r="582" spans="1:6" ht="15" customHeight="1" x14ac:dyDescent="0.2">
      <c r="A582" s="10" t="s">
        <v>399</v>
      </c>
      <c r="B582" s="11" t="s">
        <v>403</v>
      </c>
      <c r="C582" s="11"/>
      <c r="D582" s="12">
        <v>880</v>
      </c>
      <c r="E582" s="13">
        <v>441</v>
      </c>
      <c r="F582" s="16">
        <f>500/0.9</f>
        <v>555.55555555555554</v>
      </c>
    </row>
    <row r="583" spans="1:6" ht="15" customHeight="1" thickBot="1" x14ac:dyDescent="0.25">
      <c r="A583" s="10" t="s">
        <v>399</v>
      </c>
      <c r="B583" s="11"/>
      <c r="C583" s="11" t="s">
        <v>404</v>
      </c>
      <c r="D583" s="12">
        <v>37350</v>
      </c>
      <c r="E583" s="13">
        <v>750</v>
      </c>
      <c r="F583" s="16"/>
    </row>
    <row r="584" spans="1:6" ht="15" customHeight="1" x14ac:dyDescent="0.2">
      <c r="A584" s="3" t="s">
        <v>405</v>
      </c>
      <c r="B584" s="4"/>
      <c r="C584" s="4"/>
      <c r="D584" s="5"/>
      <c r="E584" s="5"/>
      <c r="F584" s="15"/>
    </row>
    <row r="585" spans="1:6" ht="15" customHeight="1" thickBot="1" x14ac:dyDescent="0.25">
      <c r="A585" s="10" t="s">
        <v>405</v>
      </c>
      <c r="B585" s="11" t="s">
        <v>189</v>
      </c>
      <c r="C585" s="11"/>
      <c r="D585" s="12">
        <v>610</v>
      </c>
      <c r="E585" s="13">
        <v>451.5</v>
      </c>
      <c r="F585" s="16">
        <f>340/1.32</f>
        <v>257.57575757575756</v>
      </c>
    </row>
    <row r="586" spans="1:6" ht="15" customHeight="1" x14ac:dyDescent="0.2">
      <c r="A586" s="3" t="s">
        <v>406</v>
      </c>
      <c r="B586" s="4"/>
      <c r="C586" s="4"/>
      <c r="D586" s="5"/>
      <c r="E586" s="5"/>
      <c r="F586" s="15"/>
    </row>
    <row r="587" spans="1:6" ht="15" customHeight="1" thickBot="1" x14ac:dyDescent="0.25">
      <c r="A587" s="10" t="s">
        <v>406</v>
      </c>
      <c r="B587" s="11" t="s">
        <v>189</v>
      </c>
      <c r="C587" s="11"/>
      <c r="D587" s="12">
        <v>452</v>
      </c>
      <c r="E587" s="13">
        <v>451.5</v>
      </c>
      <c r="F587" s="16">
        <f>340/1.32</f>
        <v>257.57575757575756</v>
      </c>
    </row>
    <row r="588" spans="1:6" ht="15" customHeight="1" x14ac:dyDescent="0.2">
      <c r="A588" s="3" t="s">
        <v>407</v>
      </c>
      <c r="B588" s="4"/>
      <c r="C588" s="4"/>
      <c r="D588" s="5"/>
      <c r="E588" s="5"/>
      <c r="F588" s="15"/>
    </row>
    <row r="589" spans="1:6" ht="15" customHeight="1" x14ac:dyDescent="0.2">
      <c r="A589" s="10" t="s">
        <v>407</v>
      </c>
      <c r="B589" s="11" t="s">
        <v>161</v>
      </c>
      <c r="C589" s="11"/>
      <c r="D589" s="12">
        <v>1450</v>
      </c>
      <c r="E589" s="13">
        <v>240</v>
      </c>
      <c r="F589" s="16">
        <f>268/1.86</f>
        <v>144.08602150537632</v>
      </c>
    </row>
    <row r="590" spans="1:6" ht="15" customHeight="1" thickBot="1" x14ac:dyDescent="0.25">
      <c r="A590" s="10" t="s">
        <v>407</v>
      </c>
      <c r="B590" s="11"/>
      <c r="C590" s="11" t="s">
        <v>271</v>
      </c>
      <c r="D590" s="12">
        <v>3255</v>
      </c>
      <c r="E590" s="13">
        <v>750</v>
      </c>
      <c r="F590" s="16"/>
    </row>
    <row r="591" spans="1:6" ht="15" customHeight="1" x14ac:dyDescent="0.2">
      <c r="A591" s="3" t="s">
        <v>408</v>
      </c>
      <c r="B591" s="4"/>
      <c r="C591" s="4"/>
      <c r="D591" s="5"/>
      <c r="E591" s="5"/>
      <c r="F591" s="15"/>
    </row>
    <row r="592" spans="1:6" ht="15" customHeight="1" thickBot="1" x14ac:dyDescent="0.25">
      <c r="A592" s="10" t="s">
        <v>408</v>
      </c>
      <c r="B592" s="11" t="s">
        <v>11</v>
      </c>
      <c r="C592" s="11"/>
      <c r="D592" s="12">
        <v>4800</v>
      </c>
      <c r="E592" s="13">
        <v>400</v>
      </c>
      <c r="F592" s="16">
        <f>985/0.8</f>
        <v>1231.25</v>
      </c>
    </row>
    <row r="593" spans="1:6" ht="15" customHeight="1" x14ac:dyDescent="0.2">
      <c r="A593" s="3" t="s">
        <v>409</v>
      </c>
      <c r="B593" s="4"/>
      <c r="C593" s="4"/>
      <c r="D593" s="5"/>
      <c r="E593" s="5"/>
      <c r="F593" s="15"/>
    </row>
    <row r="594" spans="1:6" ht="15" customHeight="1" x14ac:dyDescent="0.2">
      <c r="A594" s="10" t="s">
        <v>409</v>
      </c>
      <c r="B594" s="11" t="s">
        <v>118</v>
      </c>
      <c r="C594" s="11"/>
      <c r="D594" s="12">
        <v>2400</v>
      </c>
      <c r="E594" s="13">
        <v>400</v>
      </c>
      <c r="F594" s="16">
        <f>985/0.48</f>
        <v>2052.0833333333335</v>
      </c>
    </row>
    <row r="595" spans="1:6" ht="15" customHeight="1" x14ac:dyDescent="0.2">
      <c r="A595" s="10" t="s">
        <v>409</v>
      </c>
      <c r="B595" s="11" t="s">
        <v>310</v>
      </c>
      <c r="C595" s="11"/>
      <c r="D595" s="12">
        <v>8310</v>
      </c>
      <c r="E595" s="13">
        <v>400</v>
      </c>
      <c r="F595" s="16">
        <f>985/0.67</f>
        <v>1470.1492537313432</v>
      </c>
    </row>
    <row r="596" spans="1:6" ht="15" customHeight="1" thickBot="1" x14ac:dyDescent="0.25">
      <c r="A596" s="10" t="s">
        <v>409</v>
      </c>
      <c r="B596" s="11" t="s">
        <v>410</v>
      </c>
      <c r="C596" s="11"/>
      <c r="D596" s="12">
        <v>1890</v>
      </c>
      <c r="E596" s="13">
        <v>315</v>
      </c>
      <c r="F596" s="16">
        <f>150/0.68</f>
        <v>220.58823529411762</v>
      </c>
    </row>
    <row r="597" spans="1:6" ht="15" customHeight="1" x14ac:dyDescent="0.2">
      <c r="A597" s="3" t="s">
        <v>411</v>
      </c>
      <c r="B597" s="4"/>
      <c r="C597" s="4"/>
      <c r="D597" s="5"/>
      <c r="E597" s="5"/>
      <c r="F597" s="15"/>
    </row>
    <row r="598" spans="1:6" ht="15" customHeight="1" x14ac:dyDescent="0.2">
      <c r="A598" s="10" t="s">
        <v>411</v>
      </c>
      <c r="B598" s="11" t="s">
        <v>344</v>
      </c>
      <c r="C598" s="11"/>
      <c r="D598" s="12">
        <v>1200</v>
      </c>
      <c r="E598" s="13">
        <v>326</v>
      </c>
      <c r="F598" s="16">
        <f>250/0.7</f>
        <v>357.14285714285717</v>
      </c>
    </row>
    <row r="599" spans="1:6" ht="15" customHeight="1" x14ac:dyDescent="0.2">
      <c r="A599" s="10" t="s">
        <v>411</v>
      </c>
      <c r="B599" s="11" t="s">
        <v>345</v>
      </c>
      <c r="C599" s="11"/>
      <c r="D599" s="12">
        <v>1200</v>
      </c>
      <c r="E599" s="13">
        <v>330</v>
      </c>
      <c r="F599" s="16">
        <f>350/0.86</f>
        <v>406.97674418604652</v>
      </c>
    </row>
    <row r="600" spans="1:6" ht="15" customHeight="1" thickBot="1" x14ac:dyDescent="0.25">
      <c r="A600" s="10" t="s">
        <v>411</v>
      </c>
      <c r="B600" s="11"/>
      <c r="C600" s="11" t="s">
        <v>115</v>
      </c>
      <c r="D600" s="12">
        <v>3665</v>
      </c>
      <c r="E600" s="13">
        <v>375</v>
      </c>
      <c r="F600" s="16"/>
    </row>
    <row r="601" spans="1:6" ht="15" customHeight="1" x14ac:dyDescent="0.2">
      <c r="A601" s="3" t="s">
        <v>412</v>
      </c>
      <c r="B601" s="4"/>
      <c r="C601" s="4"/>
      <c r="D601" s="5"/>
      <c r="E601" s="5"/>
      <c r="F601" s="15"/>
    </row>
    <row r="602" spans="1:6" ht="15" customHeight="1" thickBot="1" x14ac:dyDescent="0.25">
      <c r="A602" s="10" t="s">
        <v>412</v>
      </c>
      <c r="B602" s="11" t="s">
        <v>49</v>
      </c>
      <c r="C602" s="11"/>
      <c r="D602" s="12">
        <v>2605</v>
      </c>
      <c r="E602" s="13">
        <v>400</v>
      </c>
      <c r="F602" s="16">
        <f>150/0.69</f>
        <v>217.39130434782609</v>
      </c>
    </row>
    <row r="603" spans="1:6" ht="15" customHeight="1" x14ac:dyDescent="0.2">
      <c r="A603" s="3" t="s">
        <v>413</v>
      </c>
      <c r="B603" s="4"/>
      <c r="C603" s="4"/>
      <c r="D603" s="5"/>
      <c r="E603" s="5"/>
      <c r="F603" s="15"/>
    </row>
    <row r="604" spans="1:6" ht="15" customHeight="1" thickBot="1" x14ac:dyDescent="0.25">
      <c r="A604" s="10" t="s">
        <v>413</v>
      </c>
      <c r="B604" s="11" t="s">
        <v>49</v>
      </c>
      <c r="C604" s="11"/>
      <c r="D604" s="12">
        <v>1585</v>
      </c>
      <c r="E604" s="13">
        <v>400</v>
      </c>
      <c r="F604" s="16">
        <f>150/0.69</f>
        <v>217.39130434782609</v>
      </c>
    </row>
    <row r="605" spans="1:6" ht="15" customHeight="1" x14ac:dyDescent="0.2">
      <c r="A605" s="3" t="s">
        <v>414</v>
      </c>
      <c r="B605" s="4"/>
      <c r="C605" s="4"/>
      <c r="D605" s="5"/>
      <c r="E605" s="5"/>
      <c r="F605" s="15"/>
    </row>
    <row r="606" spans="1:6" ht="15" customHeight="1" x14ac:dyDescent="0.2">
      <c r="A606" s="10" t="s">
        <v>414</v>
      </c>
      <c r="B606" s="11" t="s">
        <v>415</v>
      </c>
      <c r="C606" s="11"/>
      <c r="D606" s="12">
        <v>4750</v>
      </c>
      <c r="E606" s="13">
        <v>432</v>
      </c>
      <c r="F606" s="16">
        <v>0</v>
      </c>
    </row>
    <row r="607" spans="1:6" ht="15" customHeight="1" x14ac:dyDescent="0.2">
      <c r="A607" s="10" t="s">
        <v>414</v>
      </c>
      <c r="B607" s="11" t="s">
        <v>80</v>
      </c>
      <c r="C607" s="11"/>
      <c r="D607" s="12">
        <v>4400</v>
      </c>
      <c r="E607" s="13">
        <v>400</v>
      </c>
      <c r="F607" s="16">
        <f>399/1.14</f>
        <v>350.00000000000006</v>
      </c>
    </row>
    <row r="608" spans="1:6" ht="15" customHeight="1" thickBot="1" x14ac:dyDescent="0.25">
      <c r="A608" s="10" t="s">
        <v>414</v>
      </c>
      <c r="B608" s="11"/>
      <c r="C608" s="11" t="s">
        <v>416</v>
      </c>
      <c r="D608" s="12">
        <v>11120</v>
      </c>
      <c r="E608" s="13">
        <v>750</v>
      </c>
      <c r="F608" s="16"/>
    </row>
    <row r="609" spans="1:6" ht="15" customHeight="1" x14ac:dyDescent="0.2">
      <c r="A609" s="3" t="s">
        <v>417</v>
      </c>
      <c r="B609" s="4"/>
      <c r="C609" s="4"/>
      <c r="D609" s="5"/>
      <c r="E609" s="5"/>
      <c r="F609" s="15"/>
    </row>
    <row r="610" spans="1:6" ht="15" customHeight="1" thickBot="1" x14ac:dyDescent="0.25">
      <c r="A610" s="10" t="s">
        <v>417</v>
      </c>
      <c r="B610" s="11" t="s">
        <v>55</v>
      </c>
      <c r="C610" s="11"/>
      <c r="D610" s="12">
        <v>1205</v>
      </c>
      <c r="E610" s="13">
        <v>718</v>
      </c>
      <c r="F610" s="16">
        <f>600/1.56</f>
        <v>384.61538461538458</v>
      </c>
    </row>
    <row r="611" spans="1:6" ht="15" customHeight="1" x14ac:dyDescent="0.2">
      <c r="A611" s="3" t="s">
        <v>418</v>
      </c>
      <c r="B611" s="4"/>
      <c r="C611" s="4"/>
      <c r="D611" s="5"/>
      <c r="E611" s="5"/>
      <c r="F611" s="15"/>
    </row>
    <row r="612" spans="1:6" ht="15" customHeight="1" x14ac:dyDescent="0.2">
      <c r="A612" s="10" t="s">
        <v>418</v>
      </c>
      <c r="B612" s="11" t="s">
        <v>55</v>
      </c>
      <c r="C612" s="11"/>
      <c r="D612" s="12">
        <v>5745</v>
      </c>
      <c r="E612" s="13">
        <v>718</v>
      </c>
      <c r="F612" s="16">
        <f>600/1.56</f>
        <v>384.61538461538458</v>
      </c>
    </row>
    <row r="613" spans="1:6" ht="15" customHeight="1" thickBot="1" x14ac:dyDescent="0.25">
      <c r="A613" s="10" t="s">
        <v>418</v>
      </c>
      <c r="B613" s="11"/>
      <c r="C613" s="11" t="s">
        <v>419</v>
      </c>
      <c r="D613" s="12">
        <v>12540</v>
      </c>
      <c r="E613" s="13">
        <v>750</v>
      </c>
      <c r="F613" s="16"/>
    </row>
    <row r="614" spans="1:6" ht="15" customHeight="1" x14ac:dyDescent="0.2">
      <c r="A614" s="3" t="s">
        <v>420</v>
      </c>
      <c r="B614" s="4"/>
      <c r="C614" s="4"/>
      <c r="D614" s="5"/>
      <c r="E614" s="5"/>
      <c r="F614" s="15"/>
    </row>
    <row r="615" spans="1:6" ht="15" customHeight="1" thickBot="1" x14ac:dyDescent="0.25">
      <c r="A615" s="10" t="s">
        <v>420</v>
      </c>
      <c r="B615" s="11" t="s">
        <v>110</v>
      </c>
      <c r="C615" s="11"/>
      <c r="D615" s="12">
        <v>2130</v>
      </c>
      <c r="E615" s="13">
        <v>400</v>
      </c>
      <c r="F615" s="16">
        <f>985/2.25</f>
        <v>437.77777777777777</v>
      </c>
    </row>
    <row r="616" spans="1:6" ht="15" customHeight="1" x14ac:dyDescent="0.2">
      <c r="A616" s="3" t="s">
        <v>421</v>
      </c>
      <c r="B616" s="4"/>
      <c r="C616" s="4"/>
      <c r="D616" s="5"/>
      <c r="E616" s="5"/>
      <c r="F616" s="15"/>
    </row>
    <row r="617" spans="1:6" ht="15" customHeight="1" thickBot="1" x14ac:dyDescent="0.25">
      <c r="A617" s="10" t="s">
        <v>421</v>
      </c>
      <c r="B617" s="11"/>
      <c r="C617" s="11" t="s">
        <v>419</v>
      </c>
      <c r="D617" s="12">
        <v>750</v>
      </c>
      <c r="E617" s="13">
        <v>750</v>
      </c>
      <c r="F617" s="16"/>
    </row>
    <row r="618" spans="1:6" ht="15" customHeight="1" x14ac:dyDescent="0.2">
      <c r="A618" s="3" t="s">
        <v>422</v>
      </c>
      <c r="B618" s="4"/>
      <c r="C618" s="4"/>
      <c r="D618" s="5"/>
      <c r="E618" s="5"/>
      <c r="F618" s="15"/>
    </row>
    <row r="619" spans="1:6" ht="15" customHeight="1" thickBot="1" x14ac:dyDescent="0.25">
      <c r="A619" s="10" t="s">
        <v>422</v>
      </c>
      <c r="B619" s="11" t="s">
        <v>148</v>
      </c>
      <c r="C619" s="11"/>
      <c r="D619" s="12">
        <v>745</v>
      </c>
      <c r="E619" s="13">
        <v>353.25</v>
      </c>
      <c r="F619" s="16">
        <f>343/1.49</f>
        <v>230.20134228187919</v>
      </c>
    </row>
    <row r="620" spans="1:6" ht="15" customHeight="1" x14ac:dyDescent="0.2">
      <c r="A620" s="3" t="s">
        <v>425</v>
      </c>
      <c r="B620" s="4"/>
      <c r="C620" s="4"/>
      <c r="D620" s="5"/>
      <c r="E620" s="5"/>
      <c r="F620" s="15"/>
    </row>
    <row r="621" spans="1:6" ht="15" customHeight="1" x14ac:dyDescent="0.2">
      <c r="A621" s="10" t="s">
        <v>423</v>
      </c>
      <c r="B621" s="11" t="s">
        <v>424</v>
      </c>
      <c r="C621" s="11"/>
      <c r="D621" s="12">
        <v>6800</v>
      </c>
      <c r="E621" s="13">
        <v>400</v>
      </c>
      <c r="F621" s="16">
        <f>985/2.99</f>
        <v>329.4314381270903</v>
      </c>
    </row>
    <row r="622" spans="1:6" ht="15" customHeight="1" x14ac:dyDescent="0.2">
      <c r="A622" s="10" t="s">
        <v>425</v>
      </c>
      <c r="B622" s="11" t="s">
        <v>426</v>
      </c>
      <c r="C622" s="11"/>
      <c r="D622" s="12">
        <v>10630</v>
      </c>
      <c r="E622" s="13">
        <v>400</v>
      </c>
      <c r="F622" s="16">
        <f>985/3.16</f>
        <v>311.70886075949363</v>
      </c>
    </row>
    <row r="623" spans="1:6" ht="15" customHeight="1" x14ac:dyDescent="0.2">
      <c r="A623" s="10" t="s">
        <v>425</v>
      </c>
      <c r="B623" s="11" t="s">
        <v>427</v>
      </c>
      <c r="C623" s="11"/>
      <c r="D623" s="12">
        <v>945</v>
      </c>
      <c r="E623" s="13">
        <v>315</v>
      </c>
      <c r="F623" s="16">
        <f>150/0.71</f>
        <v>211.26760563380282</v>
      </c>
    </row>
    <row r="624" spans="1:6" ht="15" customHeight="1" x14ac:dyDescent="0.2">
      <c r="A624" s="10" t="s">
        <v>425</v>
      </c>
      <c r="B624" s="11" t="s">
        <v>428</v>
      </c>
      <c r="C624" s="11"/>
      <c r="D624" s="12">
        <v>2400</v>
      </c>
      <c r="E624" s="13">
        <v>400</v>
      </c>
      <c r="F624" s="16">
        <f>985/1.27</f>
        <v>775.59055118110234</v>
      </c>
    </row>
    <row r="625" spans="1:6" ht="15" customHeight="1" x14ac:dyDescent="0.2">
      <c r="A625" s="10" t="s">
        <v>425</v>
      </c>
      <c r="B625" s="11" t="s">
        <v>223</v>
      </c>
      <c r="C625" s="11"/>
      <c r="D625" s="12">
        <v>2400</v>
      </c>
      <c r="E625" s="13">
        <v>400</v>
      </c>
      <c r="F625" s="16">
        <f>985/2</f>
        <v>492.5</v>
      </c>
    </row>
    <row r="626" spans="1:6" ht="15" customHeight="1" x14ac:dyDescent="0.2">
      <c r="A626" s="10" t="s">
        <v>425</v>
      </c>
      <c r="B626" s="11" t="s">
        <v>429</v>
      </c>
      <c r="C626" s="11"/>
      <c r="D626" s="12">
        <v>1320</v>
      </c>
      <c r="E626" s="13">
        <v>330</v>
      </c>
      <c r="F626" s="16">
        <f>100/0.59</f>
        <v>169.49152542372883</v>
      </c>
    </row>
    <row r="627" spans="1:6" ht="15" customHeight="1" x14ac:dyDescent="0.2">
      <c r="A627" s="10" t="s">
        <v>425</v>
      </c>
      <c r="B627" s="11" t="s">
        <v>430</v>
      </c>
      <c r="C627" s="11"/>
      <c r="D627" s="12">
        <v>5040</v>
      </c>
      <c r="E627" s="13">
        <v>504</v>
      </c>
      <c r="F627" s="16">
        <f>250/0.7</f>
        <v>357.14285714285717</v>
      </c>
    </row>
    <row r="628" spans="1:6" ht="15" customHeight="1" x14ac:dyDescent="0.2">
      <c r="A628" s="10" t="s">
        <v>425</v>
      </c>
      <c r="B628" s="11" t="s">
        <v>431</v>
      </c>
      <c r="C628" s="11"/>
      <c r="D628" s="12">
        <v>2400</v>
      </c>
      <c r="E628" s="13">
        <v>400</v>
      </c>
      <c r="F628" s="16">
        <f>985/1.27</f>
        <v>775.59055118110234</v>
      </c>
    </row>
    <row r="629" spans="1:6" ht="15" customHeight="1" x14ac:dyDescent="0.2">
      <c r="A629" s="10" t="s">
        <v>425</v>
      </c>
      <c r="B629" s="11" t="s">
        <v>60</v>
      </c>
      <c r="C629" s="11"/>
      <c r="D629" s="12">
        <v>6800</v>
      </c>
      <c r="E629" s="13">
        <v>400</v>
      </c>
      <c r="F629" s="16">
        <f>985/2.67</f>
        <v>368.91385767790263</v>
      </c>
    </row>
    <row r="630" spans="1:6" ht="15" customHeight="1" x14ac:dyDescent="0.2">
      <c r="A630" s="10" t="s">
        <v>425</v>
      </c>
      <c r="B630" s="11" t="s">
        <v>139</v>
      </c>
      <c r="C630" s="11"/>
      <c r="D630" s="12">
        <v>6800</v>
      </c>
      <c r="E630" s="13">
        <v>400</v>
      </c>
      <c r="F630" s="16">
        <f>985/2.67</f>
        <v>368.91385767790263</v>
      </c>
    </row>
    <row r="631" spans="1:6" ht="15" customHeight="1" thickBot="1" x14ac:dyDescent="0.25">
      <c r="A631" s="10" t="s">
        <v>425</v>
      </c>
      <c r="B631" s="11" t="s">
        <v>432</v>
      </c>
      <c r="C631" s="11"/>
      <c r="D631" s="12">
        <v>2400</v>
      </c>
      <c r="E631" s="13">
        <v>400</v>
      </c>
      <c r="F631" s="16">
        <f>985/2</f>
        <v>492.5</v>
      </c>
    </row>
    <row r="632" spans="1:6" ht="15" customHeight="1" x14ac:dyDescent="0.2">
      <c r="A632" s="3" t="s">
        <v>433</v>
      </c>
      <c r="B632" s="4"/>
      <c r="C632" s="4"/>
      <c r="D632" s="5"/>
      <c r="E632" s="5"/>
      <c r="F632" s="15"/>
    </row>
    <row r="633" spans="1:6" ht="15" customHeight="1" x14ac:dyDescent="0.2">
      <c r="A633" s="10" t="s">
        <v>433</v>
      </c>
      <c r="B633" s="11" t="s">
        <v>434</v>
      </c>
      <c r="C633" s="11"/>
      <c r="D633" s="12">
        <v>1885</v>
      </c>
      <c r="E633" s="13">
        <v>322.5</v>
      </c>
      <c r="F633" s="16">
        <f>231/0.86</f>
        <v>268.60465116279067</v>
      </c>
    </row>
    <row r="634" spans="1:6" ht="15" customHeight="1" thickBot="1" x14ac:dyDescent="0.25">
      <c r="A634" s="10" t="s">
        <v>433</v>
      </c>
      <c r="B634" s="11" t="s">
        <v>435</v>
      </c>
      <c r="C634" s="11"/>
      <c r="D634" s="12">
        <v>980</v>
      </c>
      <c r="E634" s="13">
        <v>327</v>
      </c>
      <c r="F634" s="16">
        <f>295/0.9</f>
        <v>327.77777777777777</v>
      </c>
    </row>
    <row r="635" spans="1:6" ht="15" customHeight="1" x14ac:dyDescent="0.2">
      <c r="A635" s="3" t="s">
        <v>436</v>
      </c>
      <c r="B635" s="4"/>
      <c r="C635" s="4"/>
      <c r="D635" s="5"/>
      <c r="E635" s="5"/>
      <c r="F635" s="15"/>
    </row>
    <row r="636" spans="1:6" ht="15" customHeight="1" thickBot="1" x14ac:dyDescent="0.25">
      <c r="A636" s="10" t="s">
        <v>436</v>
      </c>
      <c r="B636" s="11" t="s">
        <v>270</v>
      </c>
      <c r="C636" s="11"/>
      <c r="D636" s="12">
        <v>400</v>
      </c>
      <c r="E636" s="13">
        <v>400</v>
      </c>
      <c r="F636" s="16">
        <f>150/1.09</f>
        <v>137.61467889908255</v>
      </c>
    </row>
    <row r="637" spans="1:6" ht="15" customHeight="1" x14ac:dyDescent="0.2">
      <c r="A637" s="3" t="s">
        <v>437</v>
      </c>
      <c r="B637" s="4"/>
      <c r="C637" s="4"/>
      <c r="D637" s="5"/>
      <c r="E637" s="5"/>
      <c r="F637" s="15"/>
    </row>
    <row r="638" spans="1:6" ht="15" customHeight="1" thickBot="1" x14ac:dyDescent="0.25">
      <c r="A638" s="10" t="s">
        <v>437</v>
      </c>
      <c r="B638" s="11" t="s">
        <v>438</v>
      </c>
      <c r="C638" s="11"/>
      <c r="D638" s="12">
        <v>1085</v>
      </c>
      <c r="E638" s="13">
        <v>246</v>
      </c>
      <c r="F638" s="16">
        <f>660/1.6</f>
        <v>412.5</v>
      </c>
    </row>
    <row r="639" spans="1:6" ht="15" customHeight="1" x14ac:dyDescent="0.2">
      <c r="A639" s="3" t="s">
        <v>439</v>
      </c>
      <c r="B639" s="4"/>
      <c r="C639" s="4"/>
      <c r="D639" s="5"/>
      <c r="E639" s="5"/>
      <c r="F639" s="15"/>
    </row>
    <row r="640" spans="1:6" ht="15" customHeight="1" thickBot="1" x14ac:dyDescent="0.25">
      <c r="A640" s="10" t="s">
        <v>439</v>
      </c>
      <c r="B640" s="11" t="s">
        <v>310</v>
      </c>
      <c r="C640" s="11"/>
      <c r="D640" s="12">
        <v>3945</v>
      </c>
      <c r="E640" s="13">
        <v>400</v>
      </c>
      <c r="F640" s="16">
        <f>985/0.67</f>
        <v>1470.1492537313432</v>
      </c>
    </row>
    <row r="641" spans="1:6" ht="15" customHeight="1" x14ac:dyDescent="0.2">
      <c r="A641" s="3" t="s">
        <v>440</v>
      </c>
      <c r="B641" s="4"/>
      <c r="C641" s="4"/>
      <c r="D641" s="5"/>
      <c r="E641" s="5"/>
      <c r="F641" s="15"/>
    </row>
    <row r="642" spans="1:6" ht="15" customHeight="1" x14ac:dyDescent="0.2">
      <c r="A642" s="10" t="s">
        <v>440</v>
      </c>
      <c r="B642" s="11" t="s">
        <v>441</v>
      </c>
      <c r="C642" s="11"/>
      <c r="D642" s="12">
        <v>4590</v>
      </c>
      <c r="E642" s="13">
        <v>450</v>
      </c>
      <c r="F642" s="16">
        <f>126/0.7</f>
        <v>180</v>
      </c>
    </row>
    <row r="643" spans="1:6" ht="15" customHeight="1" thickBot="1" x14ac:dyDescent="0.25">
      <c r="A643" s="10" t="s">
        <v>440</v>
      </c>
      <c r="B643" s="11" t="s">
        <v>345</v>
      </c>
      <c r="C643" s="11"/>
      <c r="D643" s="12">
        <v>1650</v>
      </c>
      <c r="E643" s="13">
        <v>330</v>
      </c>
      <c r="F643" s="16">
        <f>350/0.86</f>
        <v>406.97674418604652</v>
      </c>
    </row>
    <row r="644" spans="1:6" ht="15" customHeight="1" x14ac:dyDescent="0.2">
      <c r="A644" s="3" t="s">
        <v>442</v>
      </c>
      <c r="B644" s="4"/>
      <c r="C644" s="4"/>
      <c r="D644" s="5"/>
      <c r="E644" s="5"/>
      <c r="F644" s="15"/>
    </row>
    <row r="645" spans="1:6" ht="15" customHeight="1" x14ac:dyDescent="0.2">
      <c r="A645" s="10" t="s">
        <v>442</v>
      </c>
      <c r="B645" s="11" t="s">
        <v>8</v>
      </c>
      <c r="C645" s="11"/>
      <c r="D645" s="12">
        <v>1230</v>
      </c>
      <c r="E645" s="13">
        <v>308</v>
      </c>
      <c r="F645" s="16">
        <f>220/0.95</f>
        <v>231.57894736842107</v>
      </c>
    </row>
    <row r="646" spans="1:6" ht="15" customHeight="1" x14ac:dyDescent="0.2">
      <c r="A646" s="10" t="s">
        <v>442</v>
      </c>
      <c r="B646" s="11" t="s">
        <v>211</v>
      </c>
      <c r="C646" s="11"/>
      <c r="D646" s="12">
        <v>1600</v>
      </c>
      <c r="E646" s="13">
        <v>400</v>
      </c>
      <c r="F646" s="16">
        <f>365/3.39</f>
        <v>107.66961651917404</v>
      </c>
    </row>
    <row r="647" spans="1:6" ht="15" customHeight="1" thickBot="1" x14ac:dyDescent="0.25">
      <c r="A647" s="10" t="s">
        <v>442</v>
      </c>
      <c r="B647" s="11"/>
      <c r="C647" s="11" t="s">
        <v>277</v>
      </c>
      <c r="D647" s="12">
        <v>3375</v>
      </c>
      <c r="E647" s="13">
        <v>750</v>
      </c>
      <c r="F647" s="16"/>
    </row>
    <row r="648" spans="1:6" ht="15" customHeight="1" x14ac:dyDescent="0.2">
      <c r="A648" s="3" t="s">
        <v>443</v>
      </c>
      <c r="B648" s="4"/>
      <c r="C648" s="4"/>
      <c r="D648" s="5"/>
      <c r="E648" s="5"/>
      <c r="F648" s="15"/>
    </row>
    <row r="649" spans="1:6" ht="15" customHeight="1" x14ac:dyDescent="0.2">
      <c r="A649" s="10" t="s">
        <v>443</v>
      </c>
      <c r="B649" s="11" t="s">
        <v>348</v>
      </c>
      <c r="C649" s="11"/>
      <c r="D649" s="12">
        <v>1175</v>
      </c>
      <c r="E649" s="13">
        <v>590</v>
      </c>
      <c r="F649" s="16">
        <f>590/0.78</f>
        <v>756.41025641025635</v>
      </c>
    </row>
    <row r="650" spans="1:6" ht="15" customHeight="1" x14ac:dyDescent="0.2">
      <c r="A650" s="10" t="s">
        <v>443</v>
      </c>
      <c r="B650" s="11" t="s">
        <v>150</v>
      </c>
      <c r="C650" s="11"/>
      <c r="D650" s="12">
        <v>700</v>
      </c>
      <c r="E650" s="13">
        <v>350</v>
      </c>
      <c r="F650" s="16">
        <f>250/1.66</f>
        <v>150.60240963855424</v>
      </c>
    </row>
    <row r="651" spans="1:6" ht="15" customHeight="1" thickBot="1" x14ac:dyDescent="0.25">
      <c r="A651" s="10" t="s">
        <v>443</v>
      </c>
      <c r="B651" s="11"/>
      <c r="C651" s="11" t="s">
        <v>151</v>
      </c>
      <c r="D651" s="12">
        <v>3655</v>
      </c>
      <c r="E651" s="13">
        <v>750</v>
      </c>
      <c r="F651" s="16"/>
    </row>
    <row r="652" spans="1:6" ht="15" customHeight="1" x14ac:dyDescent="0.2">
      <c r="A652" s="3" t="s">
        <v>444</v>
      </c>
      <c r="B652" s="4"/>
      <c r="C652" s="4"/>
      <c r="D652" s="5"/>
      <c r="E652" s="5"/>
      <c r="F652" s="15"/>
    </row>
    <row r="653" spans="1:6" ht="15" customHeight="1" thickBot="1" x14ac:dyDescent="0.25">
      <c r="A653" s="10" t="s">
        <v>444</v>
      </c>
      <c r="B653" s="11" t="s">
        <v>150</v>
      </c>
      <c r="C653" s="11"/>
      <c r="D653" s="12">
        <v>2705</v>
      </c>
      <c r="E653" s="13">
        <v>350</v>
      </c>
      <c r="F653" s="16">
        <f>250/1.66</f>
        <v>150.60240963855424</v>
      </c>
    </row>
    <row r="654" spans="1:6" ht="15" customHeight="1" x14ac:dyDescent="0.2">
      <c r="A654" s="3" t="s">
        <v>445</v>
      </c>
      <c r="B654" s="4"/>
      <c r="C654" s="4"/>
      <c r="D654" s="5"/>
      <c r="E654" s="5"/>
      <c r="F654" s="15"/>
    </row>
    <row r="655" spans="1:6" ht="15" customHeight="1" x14ac:dyDescent="0.2">
      <c r="A655" s="10" t="s">
        <v>445</v>
      </c>
      <c r="B655" s="11" t="s">
        <v>446</v>
      </c>
      <c r="C655" s="11"/>
      <c r="D655" s="12">
        <v>900</v>
      </c>
      <c r="E655" s="13">
        <v>451.5</v>
      </c>
      <c r="F655" s="16">
        <f>300/0.7</f>
        <v>428.57142857142861</v>
      </c>
    </row>
    <row r="656" spans="1:6" ht="15" customHeight="1" x14ac:dyDescent="0.2">
      <c r="A656" s="10" t="s">
        <v>445</v>
      </c>
      <c r="B656" s="11" t="s">
        <v>226</v>
      </c>
      <c r="C656" s="11"/>
      <c r="D656" s="12">
        <v>350</v>
      </c>
      <c r="E656" s="13">
        <v>330</v>
      </c>
      <c r="F656" s="16">
        <f>240/1.5</f>
        <v>160</v>
      </c>
    </row>
    <row r="657" spans="1:6" ht="15" customHeight="1" x14ac:dyDescent="0.2">
      <c r="A657" s="10" t="s">
        <v>445</v>
      </c>
      <c r="B657" s="11" t="s">
        <v>76</v>
      </c>
      <c r="C657" s="11"/>
      <c r="D657" s="12">
        <v>800</v>
      </c>
      <c r="E657" s="13">
        <v>400</v>
      </c>
      <c r="F657" s="16">
        <f>985/1.08</f>
        <v>912.03703703703695</v>
      </c>
    </row>
    <row r="658" spans="1:6" ht="15" customHeight="1" thickBot="1" x14ac:dyDescent="0.25">
      <c r="A658" s="10" t="s">
        <v>445</v>
      </c>
      <c r="B658" s="11" t="s">
        <v>163</v>
      </c>
      <c r="C658" s="11"/>
      <c r="D658" s="12">
        <v>1125</v>
      </c>
      <c r="E658" s="13">
        <v>400</v>
      </c>
      <c r="F658" s="16">
        <f>985/1.94</f>
        <v>507.73195876288662</v>
      </c>
    </row>
    <row r="659" spans="1:6" ht="15" customHeight="1" x14ac:dyDescent="0.2">
      <c r="A659" s="3" t="s">
        <v>447</v>
      </c>
      <c r="B659" s="4"/>
      <c r="C659" s="4"/>
      <c r="D659" s="5"/>
      <c r="E659" s="5"/>
      <c r="F659" s="15"/>
    </row>
    <row r="660" spans="1:6" ht="15" customHeight="1" x14ac:dyDescent="0.2">
      <c r="A660" s="10" t="s">
        <v>447</v>
      </c>
      <c r="B660" s="11" t="s">
        <v>73</v>
      </c>
      <c r="C660" s="11"/>
      <c r="D660" s="12">
        <v>945</v>
      </c>
      <c r="E660" s="13">
        <v>315</v>
      </c>
      <c r="F660" s="16">
        <f>240/1.02</f>
        <v>235.29411764705881</v>
      </c>
    </row>
    <row r="661" spans="1:6" ht="15" customHeight="1" thickBot="1" x14ac:dyDescent="0.25">
      <c r="A661" s="10" t="s">
        <v>447</v>
      </c>
      <c r="B661" s="11" t="s">
        <v>83</v>
      </c>
      <c r="C661" s="11"/>
      <c r="D661" s="12">
        <v>2425</v>
      </c>
      <c r="E661" s="13">
        <v>400</v>
      </c>
      <c r="F661" s="16">
        <f>299/0.84</f>
        <v>355.95238095238096</v>
      </c>
    </row>
    <row r="662" spans="1:6" ht="15" customHeight="1" x14ac:dyDescent="0.2">
      <c r="A662" s="3" t="s">
        <v>448</v>
      </c>
      <c r="B662" s="4"/>
      <c r="C662" s="4"/>
      <c r="D662" s="5"/>
      <c r="E662" s="5"/>
      <c r="F662" s="15"/>
    </row>
    <row r="663" spans="1:6" ht="15" customHeight="1" thickBot="1" x14ac:dyDescent="0.25">
      <c r="A663" s="10" t="s">
        <v>448</v>
      </c>
      <c r="B663" s="11"/>
      <c r="C663" s="11" t="s">
        <v>47</v>
      </c>
      <c r="D663" s="12">
        <v>1680</v>
      </c>
      <c r="E663" s="13">
        <v>375</v>
      </c>
      <c r="F663" s="16"/>
    </row>
    <row r="664" spans="1:6" ht="15" customHeight="1" x14ac:dyDescent="0.2">
      <c r="A664" s="3" t="s">
        <v>449</v>
      </c>
      <c r="B664" s="4"/>
      <c r="C664" s="4"/>
      <c r="D664" s="5"/>
      <c r="E664" s="5"/>
      <c r="F664" s="15"/>
    </row>
    <row r="665" spans="1:6" ht="15" customHeight="1" thickBot="1" x14ac:dyDescent="0.25">
      <c r="A665" s="10" t="s">
        <v>449</v>
      </c>
      <c r="B665" s="11"/>
      <c r="C665" s="11" t="s">
        <v>40</v>
      </c>
      <c r="D665" s="12">
        <v>750</v>
      </c>
      <c r="E665" s="13">
        <v>750</v>
      </c>
      <c r="F665" s="16"/>
    </row>
    <row r="666" spans="1:6" ht="15" customHeight="1" x14ac:dyDescent="0.2">
      <c r="A666" s="3" t="s">
        <v>450</v>
      </c>
      <c r="B666" s="4"/>
      <c r="C666" s="4"/>
      <c r="D666" s="5"/>
      <c r="E666" s="5"/>
      <c r="F666" s="15"/>
    </row>
    <row r="667" spans="1:6" ht="15" customHeight="1" thickBot="1" x14ac:dyDescent="0.25">
      <c r="A667" s="10" t="s">
        <v>450</v>
      </c>
      <c r="B667" s="11"/>
      <c r="C667" s="11" t="s">
        <v>40</v>
      </c>
      <c r="D667" s="12">
        <v>750</v>
      </c>
      <c r="E667" s="13">
        <v>750</v>
      </c>
      <c r="F667" s="16"/>
    </row>
    <row r="668" spans="1:6" ht="15" customHeight="1" x14ac:dyDescent="0.2">
      <c r="A668" s="3" t="s">
        <v>451</v>
      </c>
      <c r="B668" s="4"/>
      <c r="C668" s="4"/>
      <c r="D668" s="5"/>
      <c r="E668" s="5"/>
      <c r="F668" s="15"/>
    </row>
    <row r="669" spans="1:6" ht="15" customHeight="1" x14ac:dyDescent="0.2">
      <c r="A669" s="10" t="s">
        <v>451</v>
      </c>
      <c r="B669" s="11" t="s">
        <v>80</v>
      </c>
      <c r="C669" s="11"/>
      <c r="D669" s="12">
        <v>400</v>
      </c>
      <c r="E669" s="13">
        <v>400</v>
      </c>
      <c r="F669" s="16">
        <f>399/1.14</f>
        <v>350.00000000000006</v>
      </c>
    </row>
    <row r="670" spans="1:6" ht="15" customHeight="1" x14ac:dyDescent="0.2">
      <c r="A670" s="10" t="s">
        <v>451</v>
      </c>
      <c r="B670" s="11" t="s">
        <v>130</v>
      </c>
      <c r="C670" s="11"/>
      <c r="D670" s="12">
        <v>400</v>
      </c>
      <c r="E670" s="13">
        <v>400</v>
      </c>
      <c r="F670" s="16">
        <f>100/0.64</f>
        <v>156.25</v>
      </c>
    </row>
    <row r="671" spans="1:6" ht="15" customHeight="1" thickBot="1" x14ac:dyDescent="0.25">
      <c r="A671" s="10" t="s">
        <v>451</v>
      </c>
      <c r="B671" s="11"/>
      <c r="C671" s="11" t="s">
        <v>416</v>
      </c>
      <c r="D671" s="12">
        <v>2970</v>
      </c>
      <c r="E671" s="13">
        <v>750</v>
      </c>
      <c r="F671" s="16"/>
    </row>
    <row r="672" spans="1:6" ht="15" customHeight="1" x14ac:dyDescent="0.2">
      <c r="A672" s="3" t="s">
        <v>452</v>
      </c>
      <c r="B672" s="4"/>
      <c r="C672" s="4"/>
      <c r="D672" s="5"/>
      <c r="E672" s="5"/>
      <c r="F672" s="15"/>
    </row>
    <row r="673" spans="1:6" ht="15" customHeight="1" thickBot="1" x14ac:dyDescent="0.25">
      <c r="A673" s="10" t="s">
        <v>452</v>
      </c>
      <c r="B673" s="11" t="s">
        <v>258</v>
      </c>
      <c r="C673" s="11"/>
      <c r="D673" s="12">
        <v>1325</v>
      </c>
      <c r="E673" s="13">
        <v>241.5</v>
      </c>
      <c r="F673" s="16">
        <f>100/0.6</f>
        <v>166.66666666666669</v>
      </c>
    </row>
    <row r="674" spans="1:6" ht="15" customHeight="1" x14ac:dyDescent="0.2">
      <c r="A674" s="3" t="s">
        <v>453</v>
      </c>
      <c r="B674" s="4"/>
      <c r="C674" s="4"/>
      <c r="D674" s="5"/>
      <c r="E674" s="5"/>
      <c r="F674" s="15"/>
    </row>
    <row r="675" spans="1:6" ht="15" customHeight="1" thickBot="1" x14ac:dyDescent="0.25">
      <c r="A675" s="10" t="s">
        <v>453</v>
      </c>
      <c r="B675" s="11"/>
      <c r="C675" s="11" t="s">
        <v>47</v>
      </c>
      <c r="D675" s="12">
        <v>6210</v>
      </c>
      <c r="E675" s="13">
        <v>375</v>
      </c>
      <c r="F675" s="16"/>
    </row>
    <row r="676" spans="1:6" ht="15" customHeight="1" x14ac:dyDescent="0.2">
      <c r="A676" s="3" t="s">
        <v>454</v>
      </c>
      <c r="B676" s="4"/>
      <c r="C676" s="4"/>
      <c r="D676" s="5"/>
      <c r="E676" s="5"/>
      <c r="F676" s="15"/>
    </row>
    <row r="677" spans="1:6" ht="15" customHeight="1" x14ac:dyDescent="0.2">
      <c r="A677" s="10" t="s">
        <v>454</v>
      </c>
      <c r="B677" s="11" t="s">
        <v>157</v>
      </c>
      <c r="C677" s="11"/>
      <c r="D677" s="12">
        <v>2090</v>
      </c>
      <c r="E677" s="13">
        <v>240</v>
      </c>
      <c r="F677" s="16">
        <f>90/0.77</f>
        <v>116.88311688311688</v>
      </c>
    </row>
    <row r="678" spans="1:6" ht="15" customHeight="1" thickBot="1" x14ac:dyDescent="0.25">
      <c r="A678" s="10" t="s">
        <v>454</v>
      </c>
      <c r="B678" s="11" t="s">
        <v>9</v>
      </c>
      <c r="C678" s="11"/>
      <c r="D678" s="12">
        <v>2000</v>
      </c>
      <c r="E678" s="13">
        <v>400</v>
      </c>
      <c r="F678" s="16">
        <f>365/0.66</f>
        <v>553.030303030303</v>
      </c>
    </row>
    <row r="679" spans="1:6" ht="15" customHeight="1" x14ac:dyDescent="0.2">
      <c r="A679" s="3" t="s">
        <v>455</v>
      </c>
      <c r="B679" s="4"/>
      <c r="C679" s="4"/>
      <c r="D679" s="5"/>
      <c r="E679" s="5"/>
      <c r="F679" s="15"/>
    </row>
    <row r="680" spans="1:6" ht="15" customHeight="1" thickBot="1" x14ac:dyDescent="0.25">
      <c r="A680" s="10" t="s">
        <v>455</v>
      </c>
      <c r="B680" s="11"/>
      <c r="C680" s="11" t="s">
        <v>456</v>
      </c>
      <c r="D680" s="12">
        <v>12435</v>
      </c>
      <c r="E680" s="13">
        <v>750</v>
      </c>
      <c r="F680" s="16"/>
    </row>
    <row r="681" spans="1:6" ht="15" customHeight="1" x14ac:dyDescent="0.2">
      <c r="A681" s="3" t="s">
        <v>457</v>
      </c>
      <c r="B681" s="4"/>
      <c r="C681" s="4"/>
      <c r="D681" s="5"/>
      <c r="E681" s="5"/>
      <c r="F681" s="15"/>
    </row>
    <row r="682" spans="1:6" ht="15" customHeight="1" thickBot="1" x14ac:dyDescent="0.25">
      <c r="A682" s="10" t="s">
        <v>457</v>
      </c>
      <c r="B682" s="11" t="s">
        <v>24</v>
      </c>
      <c r="C682" s="11"/>
      <c r="D682" s="12">
        <v>3160</v>
      </c>
      <c r="E682" s="13">
        <v>743</v>
      </c>
      <c r="F682" s="16">
        <f>985/0.69</f>
        <v>1427.536231884058</v>
      </c>
    </row>
    <row r="683" spans="1:6" ht="15" customHeight="1" x14ac:dyDescent="0.2">
      <c r="A683" s="3" t="s">
        <v>458</v>
      </c>
      <c r="B683" s="4"/>
      <c r="C683" s="4"/>
      <c r="D683" s="5"/>
      <c r="E683" s="5"/>
      <c r="F683" s="15"/>
    </row>
    <row r="684" spans="1:6" ht="15" customHeight="1" thickBot="1" x14ac:dyDescent="0.25">
      <c r="A684" s="10" t="s">
        <v>458</v>
      </c>
      <c r="B684" s="11" t="s">
        <v>24</v>
      </c>
      <c r="C684" s="11"/>
      <c r="D684" s="12">
        <v>940</v>
      </c>
      <c r="E684" s="13">
        <v>743</v>
      </c>
      <c r="F684" s="16">
        <f>985/0.69</f>
        <v>1427.536231884058</v>
      </c>
    </row>
    <row r="685" spans="1:6" ht="15" customHeight="1" x14ac:dyDescent="0.2">
      <c r="A685" s="3" t="s">
        <v>459</v>
      </c>
      <c r="B685" s="4"/>
      <c r="C685" s="4"/>
      <c r="D685" s="5"/>
      <c r="E685" s="5"/>
      <c r="F685" s="15"/>
    </row>
    <row r="686" spans="1:6" ht="15" customHeight="1" x14ac:dyDescent="0.2">
      <c r="A686" s="10" t="s">
        <v>459</v>
      </c>
      <c r="B686" s="11" t="s">
        <v>55</v>
      </c>
      <c r="C686" s="11"/>
      <c r="D686" s="12">
        <v>700</v>
      </c>
      <c r="E686" s="13">
        <v>718</v>
      </c>
      <c r="F686" s="16">
        <f>600/1.56</f>
        <v>384.61538461538458</v>
      </c>
    </row>
    <row r="687" spans="1:6" ht="15" customHeight="1" thickBot="1" x14ac:dyDescent="0.25">
      <c r="A687" s="10" t="s">
        <v>459</v>
      </c>
      <c r="B687" s="11" t="s">
        <v>258</v>
      </c>
      <c r="C687" s="11"/>
      <c r="D687" s="12">
        <v>500</v>
      </c>
      <c r="E687" s="13">
        <v>241.5</v>
      </c>
      <c r="F687" s="16">
        <f>100/0.6</f>
        <v>166.66666666666669</v>
      </c>
    </row>
    <row r="688" spans="1:6" ht="15" customHeight="1" x14ac:dyDescent="0.2">
      <c r="A688" s="3" t="s">
        <v>460</v>
      </c>
      <c r="B688" s="4"/>
      <c r="C688" s="4"/>
      <c r="D688" s="5"/>
      <c r="E688" s="5"/>
      <c r="F688" s="15"/>
    </row>
    <row r="689" spans="1:6" ht="15" customHeight="1" x14ac:dyDescent="0.2">
      <c r="A689" s="10" t="s">
        <v>460</v>
      </c>
      <c r="B689" s="11" t="s">
        <v>8</v>
      </c>
      <c r="C689" s="11"/>
      <c r="D689" s="12">
        <v>925</v>
      </c>
      <c r="E689" s="13">
        <v>307.5</v>
      </c>
      <c r="F689" s="16">
        <f>220/0.95</f>
        <v>231.57894736842107</v>
      </c>
    </row>
    <row r="690" spans="1:6" ht="15" customHeight="1" x14ac:dyDescent="0.2">
      <c r="A690" s="10" t="s">
        <v>460</v>
      </c>
      <c r="B690" s="11" t="s">
        <v>118</v>
      </c>
      <c r="C690" s="11"/>
      <c r="D690" s="12">
        <v>1200</v>
      </c>
      <c r="E690" s="13">
        <v>400</v>
      </c>
      <c r="F690" s="16">
        <f>985/0.48</f>
        <v>2052.0833333333335</v>
      </c>
    </row>
    <row r="691" spans="1:6" ht="15" customHeight="1" thickBot="1" x14ac:dyDescent="0.25">
      <c r="A691" s="10" t="s">
        <v>460</v>
      </c>
      <c r="B691" s="11"/>
      <c r="C691" s="11" t="s">
        <v>38</v>
      </c>
      <c r="D691" s="12">
        <v>2815</v>
      </c>
      <c r="E691" s="13">
        <v>750</v>
      </c>
      <c r="F691" s="16"/>
    </row>
    <row r="692" spans="1:6" ht="15" customHeight="1" x14ac:dyDescent="0.2">
      <c r="A692" s="3" t="s">
        <v>461</v>
      </c>
      <c r="B692" s="4"/>
      <c r="C692" s="4"/>
      <c r="D692" s="5"/>
      <c r="E692" s="5"/>
      <c r="F692" s="15"/>
    </row>
    <row r="693" spans="1:6" ht="15" customHeight="1" thickBot="1" x14ac:dyDescent="0.25">
      <c r="A693" s="10" t="s">
        <v>461</v>
      </c>
      <c r="B693" s="11" t="s">
        <v>28</v>
      </c>
      <c r="C693" s="11"/>
      <c r="D693" s="12">
        <v>8010</v>
      </c>
      <c r="E693" s="13">
        <v>275</v>
      </c>
      <c r="F693" s="16">
        <f>475/1.5</f>
        <v>316.66666666666669</v>
      </c>
    </row>
    <row r="694" spans="1:6" ht="15" customHeight="1" x14ac:dyDescent="0.2">
      <c r="A694" s="3" t="s">
        <v>462</v>
      </c>
      <c r="B694" s="4"/>
      <c r="C694" s="4"/>
      <c r="D694" s="5"/>
      <c r="E694" s="5"/>
      <c r="F694" s="15"/>
    </row>
    <row r="695" spans="1:6" ht="15" customHeight="1" thickBot="1" x14ac:dyDescent="0.25">
      <c r="A695" s="10" t="s">
        <v>462</v>
      </c>
      <c r="B695" s="11" t="s">
        <v>463</v>
      </c>
      <c r="C695" s="11"/>
      <c r="D695" s="12">
        <v>1115</v>
      </c>
      <c r="E695" s="13">
        <v>280</v>
      </c>
      <c r="F695" s="16">
        <f>350/0.98</f>
        <v>357.14285714285717</v>
      </c>
    </row>
    <row r="696" spans="1:6" ht="15" customHeight="1" x14ac:dyDescent="0.2">
      <c r="A696" s="3" t="s">
        <v>464</v>
      </c>
      <c r="B696" s="4"/>
      <c r="C696" s="4"/>
      <c r="D696" s="5"/>
      <c r="E696" s="5"/>
      <c r="F696" s="15"/>
    </row>
    <row r="697" spans="1:6" ht="15" customHeight="1" x14ac:dyDescent="0.2">
      <c r="A697" s="10" t="s">
        <v>464</v>
      </c>
      <c r="B697" s="11" t="s">
        <v>465</v>
      </c>
      <c r="C697" s="11"/>
      <c r="D697" s="12">
        <v>276</v>
      </c>
      <c r="E697" s="13">
        <v>276.25</v>
      </c>
      <c r="F697" s="16">
        <f>170/1.01</f>
        <v>168.31683168316832</v>
      </c>
    </row>
    <row r="698" spans="1:6" ht="15" customHeight="1" x14ac:dyDescent="0.2">
      <c r="A698" s="10" t="s">
        <v>464</v>
      </c>
      <c r="B698" s="11" t="s">
        <v>77</v>
      </c>
      <c r="C698" s="11"/>
      <c r="D698" s="12">
        <v>400</v>
      </c>
      <c r="E698" s="13">
        <v>400</v>
      </c>
      <c r="F698" s="16">
        <f>300/2</f>
        <v>150</v>
      </c>
    </row>
    <row r="699" spans="1:6" ht="15" customHeight="1" thickBot="1" x14ac:dyDescent="0.25">
      <c r="A699" s="10" t="s">
        <v>464</v>
      </c>
      <c r="B699" s="11"/>
      <c r="C699" s="11" t="s">
        <v>84</v>
      </c>
      <c r="D699" s="12">
        <v>775</v>
      </c>
      <c r="E699" s="13">
        <v>750</v>
      </c>
      <c r="F699" s="16"/>
    </row>
    <row r="700" spans="1:6" ht="15" customHeight="1" x14ac:dyDescent="0.2">
      <c r="A700" s="3" t="s">
        <v>466</v>
      </c>
      <c r="B700" s="4"/>
      <c r="C700" s="4"/>
      <c r="D700" s="5"/>
      <c r="E700" s="5"/>
      <c r="F700" s="15"/>
    </row>
    <row r="701" spans="1:6" ht="15" customHeight="1" x14ac:dyDescent="0.2">
      <c r="A701" s="10" t="s">
        <v>466</v>
      </c>
      <c r="B701" s="11" t="s">
        <v>110</v>
      </c>
      <c r="C701" s="11"/>
      <c r="D701" s="12">
        <v>4080</v>
      </c>
      <c r="E701" s="13">
        <v>400</v>
      </c>
      <c r="F701" s="16">
        <f>985/2.25</f>
        <v>437.77777777777777</v>
      </c>
    </row>
    <row r="702" spans="1:6" ht="15" customHeight="1" thickBot="1" x14ac:dyDescent="0.25">
      <c r="A702" s="10" t="s">
        <v>466</v>
      </c>
      <c r="B702" s="11" t="s">
        <v>111</v>
      </c>
      <c r="C702" s="11"/>
      <c r="D702" s="12">
        <v>3675</v>
      </c>
      <c r="E702" s="13">
        <v>735</v>
      </c>
      <c r="F702" s="16">
        <f>985/1.13</f>
        <v>871.68141592920358</v>
      </c>
    </row>
    <row r="703" spans="1:6" ht="15" customHeight="1" x14ac:dyDescent="0.2">
      <c r="A703" s="3" t="s">
        <v>467</v>
      </c>
      <c r="B703" s="4"/>
      <c r="C703" s="4"/>
      <c r="D703" s="5"/>
      <c r="E703" s="5"/>
      <c r="F703" s="15"/>
    </row>
    <row r="704" spans="1:6" ht="15" customHeight="1" thickBot="1" x14ac:dyDescent="0.25">
      <c r="A704" s="10" t="s">
        <v>467</v>
      </c>
      <c r="B704" s="11" t="s">
        <v>223</v>
      </c>
      <c r="C704" s="11"/>
      <c r="D704" s="12">
        <v>3545</v>
      </c>
      <c r="E704" s="13">
        <v>400</v>
      </c>
      <c r="F704" s="16">
        <f>985/2</f>
        <v>492.5</v>
      </c>
    </row>
    <row r="705" spans="1:6" ht="15" customHeight="1" x14ac:dyDescent="0.2">
      <c r="A705" s="3" t="s">
        <v>468</v>
      </c>
      <c r="B705" s="4"/>
      <c r="C705" s="4"/>
      <c r="D705" s="5"/>
      <c r="E705" s="5"/>
      <c r="F705" s="15"/>
    </row>
    <row r="706" spans="1:6" ht="15" customHeight="1" x14ac:dyDescent="0.2">
      <c r="A706" s="10" t="s">
        <v>468</v>
      </c>
      <c r="B706" s="11" t="s">
        <v>15</v>
      </c>
      <c r="C706" s="11"/>
      <c r="D706" s="12">
        <v>800</v>
      </c>
      <c r="E706" s="13">
        <v>400</v>
      </c>
      <c r="F706" s="16">
        <f>300/1</f>
        <v>300</v>
      </c>
    </row>
    <row r="707" spans="1:6" ht="15" customHeight="1" thickBot="1" x14ac:dyDescent="0.25">
      <c r="A707" s="10" t="s">
        <v>468</v>
      </c>
      <c r="B707" s="11"/>
      <c r="C707" s="11" t="s">
        <v>115</v>
      </c>
      <c r="D707" s="12">
        <v>1640</v>
      </c>
      <c r="E707" s="13">
        <v>375</v>
      </c>
      <c r="F707" s="16"/>
    </row>
    <row r="708" spans="1:6" ht="15" customHeight="1" x14ac:dyDescent="0.2">
      <c r="A708" s="3" t="s">
        <v>469</v>
      </c>
      <c r="B708" s="4"/>
      <c r="C708" s="4"/>
      <c r="D708" s="5"/>
      <c r="E708" s="5"/>
      <c r="F708" s="15"/>
    </row>
    <row r="709" spans="1:6" ht="15" customHeight="1" x14ac:dyDescent="0.2">
      <c r="A709" s="10" t="s">
        <v>469</v>
      </c>
      <c r="B709" s="11" t="s">
        <v>470</v>
      </c>
      <c r="C709" s="11"/>
      <c r="D709" s="12">
        <v>1765</v>
      </c>
      <c r="E709" s="13">
        <v>353.25</v>
      </c>
      <c r="F709" s="16">
        <f>343/1.49</f>
        <v>230.20134228187919</v>
      </c>
    </row>
    <row r="710" spans="1:6" ht="15" customHeight="1" thickBot="1" x14ac:dyDescent="0.25">
      <c r="A710" s="10" t="s">
        <v>469</v>
      </c>
      <c r="B710" s="11"/>
      <c r="C710" s="11" t="s">
        <v>471</v>
      </c>
      <c r="D710" s="12">
        <v>13345</v>
      </c>
      <c r="E710" s="13">
        <v>750</v>
      </c>
      <c r="F710" s="16"/>
    </row>
    <row r="711" spans="1:6" ht="15" customHeight="1" x14ac:dyDescent="0.2">
      <c r="A711" s="3" t="s">
        <v>472</v>
      </c>
      <c r="B711" s="4"/>
      <c r="C711" s="4"/>
      <c r="D711" s="5"/>
      <c r="E711" s="5"/>
      <c r="F711" s="15"/>
    </row>
    <row r="712" spans="1:6" ht="15" customHeight="1" x14ac:dyDescent="0.2">
      <c r="A712" s="10" t="s">
        <v>472</v>
      </c>
      <c r="B712" s="11" t="s">
        <v>66</v>
      </c>
      <c r="C712" s="11"/>
      <c r="D712" s="12">
        <v>8000</v>
      </c>
      <c r="E712" s="13">
        <v>400</v>
      </c>
      <c r="F712" s="16">
        <f>328/1.21</f>
        <v>271.07438016528926</v>
      </c>
    </row>
    <row r="713" spans="1:6" ht="15" customHeight="1" thickBot="1" x14ac:dyDescent="0.25">
      <c r="A713" s="10" t="s">
        <v>472</v>
      </c>
      <c r="B713" s="11"/>
      <c r="C713" s="11" t="s">
        <v>473</v>
      </c>
      <c r="D713" s="12">
        <v>27100</v>
      </c>
      <c r="E713" s="13">
        <v>750</v>
      </c>
      <c r="F713" s="16"/>
    </row>
    <row r="714" spans="1:6" ht="15" customHeight="1" x14ac:dyDescent="0.2">
      <c r="A714" s="3" t="s">
        <v>474</v>
      </c>
      <c r="B714" s="4"/>
      <c r="C714" s="4"/>
      <c r="D714" s="5"/>
      <c r="E714" s="5"/>
      <c r="F714" s="15"/>
    </row>
    <row r="715" spans="1:6" ht="15" customHeight="1" x14ac:dyDescent="0.2">
      <c r="A715" s="10" t="s">
        <v>474</v>
      </c>
      <c r="B715" s="11" t="s">
        <v>475</v>
      </c>
      <c r="C715" s="11"/>
      <c r="D715" s="12">
        <v>6000</v>
      </c>
      <c r="E715" s="13">
        <v>400</v>
      </c>
      <c r="F715" s="16">
        <f>985/5.25</f>
        <v>187.61904761904762</v>
      </c>
    </row>
    <row r="716" spans="1:6" ht="15" customHeight="1" x14ac:dyDescent="0.2">
      <c r="A716" s="10" t="s">
        <v>474</v>
      </c>
      <c r="B716" s="11" t="s">
        <v>476</v>
      </c>
      <c r="C716" s="11"/>
      <c r="D716" s="12">
        <v>6805</v>
      </c>
      <c r="E716" s="13">
        <v>400</v>
      </c>
      <c r="F716" s="16">
        <f>985/5.82</f>
        <v>169.24398625429552</v>
      </c>
    </row>
    <row r="717" spans="1:6" ht="15" customHeight="1" x14ac:dyDescent="0.2">
      <c r="A717" s="10" t="s">
        <v>474</v>
      </c>
      <c r="B717" s="11" t="s">
        <v>477</v>
      </c>
      <c r="C717" s="11"/>
      <c r="D717" s="12">
        <v>1050</v>
      </c>
      <c r="E717" s="13">
        <v>210</v>
      </c>
      <c r="F717" s="16">
        <v>65.689149560117301</v>
      </c>
    </row>
    <row r="718" spans="1:6" ht="15" customHeight="1" x14ac:dyDescent="0.2">
      <c r="A718" s="10" t="s">
        <v>474</v>
      </c>
      <c r="B718" s="11" t="s">
        <v>478</v>
      </c>
      <c r="C718" s="11"/>
      <c r="D718" s="12">
        <v>6800</v>
      </c>
      <c r="E718" s="13">
        <v>400</v>
      </c>
      <c r="F718" s="16">
        <f>985/7.82</f>
        <v>125.95907928388746</v>
      </c>
    </row>
    <row r="719" spans="1:6" ht="15" customHeight="1" x14ac:dyDescent="0.2">
      <c r="A719" s="10" t="s">
        <v>474</v>
      </c>
      <c r="B719" s="11" t="s">
        <v>479</v>
      </c>
      <c r="C719" s="11"/>
      <c r="D719" s="12">
        <v>6000</v>
      </c>
      <c r="E719" s="13">
        <v>400</v>
      </c>
      <c r="F719" s="16">
        <f>985/2.96</f>
        <v>332.77027027027026</v>
      </c>
    </row>
    <row r="720" spans="1:6" ht="15" customHeight="1" x14ac:dyDescent="0.2">
      <c r="A720" s="10" t="s">
        <v>474</v>
      </c>
      <c r="B720" s="11" t="s">
        <v>480</v>
      </c>
      <c r="C720" s="11"/>
      <c r="D720" s="12">
        <v>6000</v>
      </c>
      <c r="E720" s="13">
        <v>400</v>
      </c>
      <c r="F720" s="16">
        <f>985/4.15</f>
        <v>237.34939759036143</v>
      </c>
    </row>
    <row r="721" spans="1:6" ht="15" customHeight="1" x14ac:dyDescent="0.2">
      <c r="A721" s="10" t="s">
        <v>474</v>
      </c>
      <c r="B721" s="11" t="s">
        <v>481</v>
      </c>
      <c r="C721" s="11"/>
      <c r="D721" s="12">
        <v>1350</v>
      </c>
      <c r="E721" s="13">
        <v>270</v>
      </c>
      <c r="F721" s="16">
        <f>450/2.25</f>
        <v>200</v>
      </c>
    </row>
    <row r="722" spans="1:6" ht="15" customHeight="1" x14ac:dyDescent="0.2">
      <c r="A722" s="10" t="s">
        <v>474</v>
      </c>
      <c r="B722" s="11" t="s">
        <v>482</v>
      </c>
      <c r="C722" s="11"/>
      <c r="D722" s="12">
        <v>1350</v>
      </c>
      <c r="E722" s="13">
        <v>270</v>
      </c>
      <c r="F722" s="16">
        <f>450/2.25</f>
        <v>200</v>
      </c>
    </row>
    <row r="723" spans="1:6" ht="15" customHeight="1" x14ac:dyDescent="0.2">
      <c r="A723" s="10" t="s">
        <v>474</v>
      </c>
      <c r="B723" s="11" t="s">
        <v>483</v>
      </c>
      <c r="C723" s="11"/>
      <c r="D723" s="12">
        <v>2900</v>
      </c>
      <c r="E723" s="13">
        <v>580</v>
      </c>
      <c r="F723" s="16">
        <f>85/0.89</f>
        <v>95.50561797752809</v>
      </c>
    </row>
    <row r="724" spans="1:6" ht="15" customHeight="1" x14ac:dyDescent="0.2">
      <c r="A724" s="10" t="s">
        <v>474</v>
      </c>
      <c r="B724" s="11" t="s">
        <v>484</v>
      </c>
      <c r="C724" s="11"/>
      <c r="D724" s="12">
        <v>1585</v>
      </c>
      <c r="E724" s="13">
        <v>197.5</v>
      </c>
      <c r="F724" s="16">
        <v>0</v>
      </c>
    </row>
    <row r="725" spans="1:6" ht="15" customHeight="1" x14ac:dyDescent="0.2">
      <c r="A725" s="10" t="s">
        <v>474</v>
      </c>
      <c r="B725" s="11" t="s">
        <v>485</v>
      </c>
      <c r="C725" s="11"/>
      <c r="D725" s="12">
        <v>530</v>
      </c>
      <c r="E725" s="13">
        <v>268.75</v>
      </c>
      <c r="F725" s="16">
        <f>195/0.7</f>
        <v>278.57142857142861</v>
      </c>
    </row>
    <row r="726" spans="1:6" ht="15" customHeight="1" x14ac:dyDescent="0.2">
      <c r="A726" s="10" t="s">
        <v>474</v>
      </c>
      <c r="B726" s="11" t="s">
        <v>486</v>
      </c>
      <c r="C726" s="11"/>
      <c r="D726" s="12">
        <v>1015</v>
      </c>
      <c r="E726" s="13">
        <v>203</v>
      </c>
      <c r="F726" s="16">
        <v>406.77966101694915</v>
      </c>
    </row>
    <row r="727" spans="1:6" ht="15" customHeight="1" x14ac:dyDescent="0.2">
      <c r="A727" s="10" t="s">
        <v>474</v>
      </c>
      <c r="B727" s="11" t="s">
        <v>487</v>
      </c>
      <c r="C727" s="11"/>
      <c r="D727" s="12">
        <v>1175</v>
      </c>
      <c r="E727" s="13">
        <v>588</v>
      </c>
      <c r="F727" s="16">
        <f>400/1</f>
        <v>400</v>
      </c>
    </row>
    <row r="728" spans="1:6" ht="15" customHeight="1" x14ac:dyDescent="0.2">
      <c r="A728" s="10" t="s">
        <v>474</v>
      </c>
      <c r="B728" s="11" t="s">
        <v>488</v>
      </c>
      <c r="C728" s="11"/>
      <c r="D728" s="12">
        <v>1490</v>
      </c>
      <c r="E728" s="13">
        <v>186</v>
      </c>
      <c r="F728" s="16">
        <f>1020/0.68</f>
        <v>1500</v>
      </c>
    </row>
    <row r="729" spans="1:6" ht="15" customHeight="1" x14ac:dyDescent="0.2">
      <c r="A729" s="10" t="s">
        <v>474</v>
      </c>
      <c r="B729" s="11" t="s">
        <v>489</v>
      </c>
      <c r="C729" s="11"/>
      <c r="D729" s="12">
        <v>730</v>
      </c>
      <c r="E729" s="13">
        <v>365</v>
      </c>
      <c r="F729" s="16">
        <f>499/2.51</f>
        <v>198.80478087649405</v>
      </c>
    </row>
    <row r="730" spans="1:6" ht="15" customHeight="1" x14ac:dyDescent="0.2">
      <c r="A730" s="10" t="s">
        <v>474</v>
      </c>
      <c r="B730" s="11" t="s">
        <v>490</v>
      </c>
      <c r="C730" s="11"/>
      <c r="D730" s="12">
        <v>730</v>
      </c>
      <c r="E730" s="13">
        <v>365</v>
      </c>
      <c r="F730" s="16">
        <f>499/2.98</f>
        <v>167.4496644295302</v>
      </c>
    </row>
    <row r="731" spans="1:6" ht="15" customHeight="1" x14ac:dyDescent="0.2">
      <c r="A731" s="10" t="s">
        <v>474</v>
      </c>
      <c r="B731" s="11" t="s">
        <v>491</v>
      </c>
      <c r="C731" s="11"/>
      <c r="D731" s="12">
        <v>210</v>
      </c>
      <c r="E731" s="13">
        <v>155</v>
      </c>
      <c r="F731" s="16">
        <f>160/1.03</f>
        <v>155.33980582524271</v>
      </c>
    </row>
    <row r="732" spans="1:6" ht="15" customHeight="1" x14ac:dyDescent="0.2">
      <c r="A732" s="10" t="s">
        <v>474</v>
      </c>
      <c r="B732" s="11"/>
      <c r="C732" s="11" t="s">
        <v>238</v>
      </c>
      <c r="D732" s="12">
        <v>15000</v>
      </c>
      <c r="E732" s="13">
        <v>750</v>
      </c>
      <c r="F732" s="16"/>
    </row>
    <row r="733" spans="1:6" ht="15" customHeight="1" x14ac:dyDescent="0.2">
      <c r="A733" s="10" t="s">
        <v>474</v>
      </c>
      <c r="B733" s="11"/>
      <c r="C733" s="11" t="s">
        <v>492</v>
      </c>
      <c r="D733" s="12">
        <v>11250</v>
      </c>
      <c r="E733" s="13">
        <v>750</v>
      </c>
      <c r="F733" s="16"/>
    </row>
    <row r="734" spans="1:6" ht="15" customHeight="1" x14ac:dyDescent="0.2">
      <c r="A734" s="10" t="s">
        <v>474</v>
      </c>
      <c r="B734" s="11"/>
      <c r="C734" s="11" t="s">
        <v>178</v>
      </c>
      <c r="D734" s="12">
        <v>28675</v>
      </c>
      <c r="E734" s="13">
        <v>750</v>
      </c>
      <c r="F734" s="16"/>
    </row>
    <row r="735" spans="1:6" ht="15" customHeight="1" x14ac:dyDescent="0.2">
      <c r="A735" s="10" t="s">
        <v>474</v>
      </c>
      <c r="B735" s="11"/>
      <c r="C735" s="11" t="s">
        <v>313</v>
      </c>
      <c r="D735" s="12">
        <v>14075</v>
      </c>
      <c r="E735" s="13">
        <v>375</v>
      </c>
      <c r="F735" s="16"/>
    </row>
    <row r="736" spans="1:6" ht="15" customHeight="1" thickBot="1" x14ac:dyDescent="0.25">
      <c r="A736" s="10" t="s">
        <v>474</v>
      </c>
      <c r="B736" s="11"/>
      <c r="C736" s="11" t="s">
        <v>177</v>
      </c>
      <c r="D736" s="12">
        <v>15000</v>
      </c>
      <c r="E736" s="13">
        <v>750</v>
      </c>
      <c r="F736" s="16"/>
    </row>
    <row r="737" spans="1:6" ht="15" customHeight="1" x14ac:dyDescent="0.2">
      <c r="A737" s="3" t="s">
        <v>493</v>
      </c>
      <c r="B737" s="4"/>
      <c r="C737" s="4"/>
      <c r="D737" s="5"/>
      <c r="E737" s="5"/>
      <c r="F737" s="15"/>
    </row>
    <row r="738" spans="1:6" ht="15" customHeight="1" thickBot="1" x14ac:dyDescent="0.25">
      <c r="A738" s="10" t="s">
        <v>493</v>
      </c>
      <c r="B738" s="11" t="s">
        <v>258</v>
      </c>
      <c r="C738" s="11"/>
      <c r="D738" s="12">
        <v>1595</v>
      </c>
      <c r="E738" s="13">
        <v>241.5</v>
      </c>
      <c r="F738" s="16">
        <f>100/0.6</f>
        <v>166.66666666666669</v>
      </c>
    </row>
    <row r="739" spans="1:6" ht="15" customHeight="1" x14ac:dyDescent="0.2">
      <c r="A739" s="3" t="s">
        <v>494</v>
      </c>
      <c r="B739" s="4"/>
      <c r="C739" s="4"/>
      <c r="D739" s="5"/>
      <c r="E739" s="5"/>
      <c r="F739" s="15"/>
    </row>
    <row r="740" spans="1:6" ht="15" customHeight="1" x14ac:dyDescent="0.2">
      <c r="A740" s="10" t="s">
        <v>494</v>
      </c>
      <c r="B740" s="11" t="s">
        <v>7</v>
      </c>
      <c r="C740" s="11"/>
      <c r="D740" s="12">
        <v>1260</v>
      </c>
      <c r="E740" s="13">
        <v>425.25</v>
      </c>
      <c r="F740" s="16">
        <f>200/0.7</f>
        <v>285.71428571428572</v>
      </c>
    </row>
    <row r="741" spans="1:6" ht="15" customHeight="1" thickBot="1" x14ac:dyDescent="0.25">
      <c r="A741" s="10" t="s">
        <v>494</v>
      </c>
      <c r="B741" s="11" t="s">
        <v>51</v>
      </c>
      <c r="C741" s="11"/>
      <c r="D741" s="12">
        <v>602</v>
      </c>
      <c r="E741" s="13">
        <v>602</v>
      </c>
      <c r="F741" s="16">
        <f>150/0.46</f>
        <v>326.08695652173913</v>
      </c>
    </row>
    <row r="742" spans="1:6" ht="15" customHeight="1" x14ac:dyDescent="0.2">
      <c r="A742" s="3" t="s">
        <v>495</v>
      </c>
      <c r="B742" s="4"/>
      <c r="C742" s="4"/>
      <c r="D742" s="5"/>
      <c r="E742" s="5"/>
      <c r="F742" s="15"/>
    </row>
    <row r="743" spans="1:6" ht="15" customHeight="1" thickBot="1" x14ac:dyDescent="0.25">
      <c r="A743" s="10" t="s">
        <v>495</v>
      </c>
      <c r="B743" s="11"/>
      <c r="C743" s="11" t="s">
        <v>40</v>
      </c>
      <c r="D743" s="12">
        <v>750</v>
      </c>
      <c r="E743" s="13">
        <v>750</v>
      </c>
      <c r="F743" s="16"/>
    </row>
    <row r="744" spans="1:6" ht="15" customHeight="1" x14ac:dyDescent="0.2">
      <c r="A744" s="3" t="s">
        <v>496</v>
      </c>
      <c r="B744" s="4"/>
      <c r="C744" s="4"/>
      <c r="D744" s="5"/>
      <c r="E744" s="5"/>
      <c r="F744" s="15"/>
    </row>
    <row r="745" spans="1:6" ht="15" customHeight="1" thickBot="1" x14ac:dyDescent="0.25">
      <c r="A745" s="10" t="s">
        <v>496</v>
      </c>
      <c r="B745" s="11" t="s">
        <v>130</v>
      </c>
      <c r="C745" s="11"/>
      <c r="D745" s="12">
        <v>705</v>
      </c>
      <c r="E745" s="13">
        <v>400</v>
      </c>
      <c r="F745" s="16">
        <f>100/0.64</f>
        <v>156.25</v>
      </c>
    </row>
    <row r="746" spans="1:6" ht="15" customHeight="1" x14ac:dyDescent="0.2">
      <c r="A746" s="3" t="s">
        <v>497</v>
      </c>
      <c r="B746" s="4"/>
      <c r="C746" s="4"/>
      <c r="D746" s="5"/>
      <c r="E746" s="5"/>
      <c r="F746" s="15"/>
    </row>
    <row r="747" spans="1:6" ht="15" customHeight="1" x14ac:dyDescent="0.2">
      <c r="A747" s="10" t="s">
        <v>497</v>
      </c>
      <c r="B747" s="11" t="s">
        <v>375</v>
      </c>
      <c r="C747" s="11"/>
      <c r="D747" s="12">
        <v>1200</v>
      </c>
      <c r="E747" s="13">
        <v>241.25</v>
      </c>
      <c r="F747" s="16">
        <f>350/1.19</f>
        <v>294.11764705882354</v>
      </c>
    </row>
    <row r="748" spans="1:6" ht="15" customHeight="1" x14ac:dyDescent="0.2">
      <c r="A748" s="10" t="s">
        <v>497</v>
      </c>
      <c r="B748" s="11" t="s">
        <v>498</v>
      </c>
      <c r="C748" s="11"/>
      <c r="D748" s="12">
        <v>12000</v>
      </c>
      <c r="E748" s="13">
        <v>400</v>
      </c>
      <c r="F748" s="16">
        <f>985/1.88</f>
        <v>523.936170212766</v>
      </c>
    </row>
    <row r="749" spans="1:6" ht="15" customHeight="1" x14ac:dyDescent="0.2">
      <c r="A749" s="10" t="s">
        <v>497</v>
      </c>
      <c r="B749" s="11" t="s">
        <v>499</v>
      </c>
      <c r="C749" s="11"/>
      <c r="D749" s="12">
        <v>2900</v>
      </c>
      <c r="E749" s="13">
        <v>289.5</v>
      </c>
      <c r="F749" s="16">
        <f>300/1.08</f>
        <v>277.77777777777777</v>
      </c>
    </row>
    <row r="750" spans="1:6" ht="15" customHeight="1" x14ac:dyDescent="0.2">
      <c r="A750" s="10" t="s">
        <v>497</v>
      </c>
      <c r="B750" s="11" t="s">
        <v>500</v>
      </c>
      <c r="C750" s="11"/>
      <c r="D750" s="12">
        <v>12000</v>
      </c>
      <c r="E750" s="13">
        <v>400</v>
      </c>
      <c r="F750" s="16">
        <f>985/2.26</f>
        <v>435.84070796460179</v>
      </c>
    </row>
    <row r="751" spans="1:6" ht="15" customHeight="1" x14ac:dyDescent="0.2">
      <c r="A751" s="10" t="s">
        <v>497</v>
      </c>
      <c r="B751" s="11" t="s">
        <v>376</v>
      </c>
      <c r="C751" s="11"/>
      <c r="D751" s="12">
        <v>1200</v>
      </c>
      <c r="E751" s="13">
        <v>400</v>
      </c>
      <c r="F751" s="16">
        <f>985/0.84</f>
        <v>1172.6190476190477</v>
      </c>
    </row>
    <row r="752" spans="1:6" ht="15" customHeight="1" x14ac:dyDescent="0.2">
      <c r="A752" s="10" t="s">
        <v>497</v>
      </c>
      <c r="B752" s="11" t="s">
        <v>501</v>
      </c>
      <c r="C752" s="11"/>
      <c r="D752" s="12">
        <v>10000</v>
      </c>
      <c r="E752" s="13">
        <v>400</v>
      </c>
      <c r="F752" s="16">
        <f>985/1.42</f>
        <v>693.66197183098598</v>
      </c>
    </row>
    <row r="753" spans="1:6" ht="15" customHeight="1" thickBot="1" x14ac:dyDescent="0.25">
      <c r="A753" s="10" t="s">
        <v>497</v>
      </c>
      <c r="B753" s="11"/>
      <c r="C753" s="11" t="s">
        <v>228</v>
      </c>
      <c r="D753" s="12">
        <v>28585</v>
      </c>
      <c r="E753" s="13">
        <v>750</v>
      </c>
      <c r="F753" s="16"/>
    </row>
    <row r="754" spans="1:6" ht="15" customHeight="1" x14ac:dyDescent="0.2">
      <c r="A754" s="3" t="s">
        <v>502</v>
      </c>
      <c r="B754" s="4"/>
      <c r="C754" s="4"/>
      <c r="D754" s="5"/>
      <c r="E754" s="5"/>
      <c r="F754" s="15"/>
    </row>
    <row r="755" spans="1:6" ht="15" customHeight="1" x14ac:dyDescent="0.2">
      <c r="A755" s="10" t="s">
        <v>502</v>
      </c>
      <c r="B755" s="11" t="s">
        <v>503</v>
      </c>
      <c r="C755" s="11"/>
      <c r="D755" s="12">
        <v>2640</v>
      </c>
      <c r="E755" s="13">
        <v>330</v>
      </c>
      <c r="F755" s="16">
        <f>240/0.63</f>
        <v>380.95238095238096</v>
      </c>
    </row>
    <row r="756" spans="1:6" ht="15" customHeight="1" x14ac:dyDescent="0.2">
      <c r="A756" s="10" t="s">
        <v>502</v>
      </c>
      <c r="B756" s="11" t="s">
        <v>504</v>
      </c>
      <c r="C756" s="11"/>
      <c r="D756" s="12">
        <v>3600</v>
      </c>
      <c r="E756" s="13">
        <v>400</v>
      </c>
      <c r="F756" s="16">
        <f>985/1.71</f>
        <v>576.0233918128655</v>
      </c>
    </row>
    <row r="757" spans="1:6" ht="15" customHeight="1" x14ac:dyDescent="0.2">
      <c r="A757" s="10" t="s">
        <v>502</v>
      </c>
      <c r="B757" s="11" t="s">
        <v>226</v>
      </c>
      <c r="C757" s="11"/>
      <c r="D757" s="12">
        <v>13680</v>
      </c>
      <c r="E757" s="13">
        <v>330</v>
      </c>
      <c r="F757" s="16">
        <f>240/1.5</f>
        <v>160</v>
      </c>
    </row>
    <row r="758" spans="1:6" ht="15" customHeight="1" x14ac:dyDescent="0.2">
      <c r="A758" s="10" t="s">
        <v>502</v>
      </c>
      <c r="B758" s="11" t="s">
        <v>227</v>
      </c>
      <c r="C758" s="11"/>
      <c r="D758" s="12">
        <v>3600</v>
      </c>
      <c r="E758" s="13">
        <v>400</v>
      </c>
      <c r="F758" s="16">
        <f>985/1.88</f>
        <v>523.936170212766</v>
      </c>
    </row>
    <row r="759" spans="1:6" ht="15" customHeight="1" x14ac:dyDescent="0.2">
      <c r="A759" s="10" t="s">
        <v>502</v>
      </c>
      <c r="B759" s="11" t="s">
        <v>76</v>
      </c>
      <c r="C759" s="11"/>
      <c r="D759" s="12">
        <v>7200</v>
      </c>
      <c r="E759" s="13">
        <v>400</v>
      </c>
      <c r="F759" s="16">
        <f>985/1.08</f>
        <v>912.03703703703695</v>
      </c>
    </row>
    <row r="760" spans="1:6" ht="15" customHeight="1" thickBot="1" x14ac:dyDescent="0.25">
      <c r="A760" s="10" t="s">
        <v>502</v>
      </c>
      <c r="B760" s="11" t="s">
        <v>505</v>
      </c>
      <c r="C760" s="11"/>
      <c r="D760" s="12">
        <v>140</v>
      </c>
      <c r="E760" s="13">
        <v>68.5</v>
      </c>
      <c r="F760" s="16">
        <f>75/1.42</f>
        <v>52.816901408450704</v>
      </c>
    </row>
    <row r="761" spans="1:6" ht="15" customHeight="1" x14ac:dyDescent="0.2">
      <c r="A761" s="3" t="s">
        <v>506</v>
      </c>
      <c r="B761" s="4"/>
      <c r="C761" s="4"/>
      <c r="D761" s="5"/>
      <c r="E761" s="5"/>
      <c r="F761" s="15"/>
    </row>
    <row r="762" spans="1:6" ht="15" customHeight="1" thickBot="1" x14ac:dyDescent="0.25">
      <c r="A762" s="10" t="s">
        <v>506</v>
      </c>
      <c r="B762" s="11" t="s">
        <v>180</v>
      </c>
      <c r="C762" s="11"/>
      <c r="D762" s="12">
        <v>1875</v>
      </c>
      <c r="E762" s="13">
        <v>400</v>
      </c>
      <c r="F762" s="16">
        <f>299/0.77</f>
        <v>388.31168831168833</v>
      </c>
    </row>
    <row r="763" spans="1:6" ht="15" customHeight="1" x14ac:dyDescent="0.2">
      <c r="A763" s="3" t="s">
        <v>507</v>
      </c>
      <c r="B763" s="4"/>
      <c r="C763" s="4"/>
      <c r="D763" s="5"/>
      <c r="E763" s="5"/>
      <c r="F763" s="15"/>
    </row>
    <row r="764" spans="1:6" ht="15" customHeight="1" x14ac:dyDescent="0.2">
      <c r="A764" s="10" t="s">
        <v>507</v>
      </c>
      <c r="B764" s="11" t="s">
        <v>96</v>
      </c>
      <c r="C764" s="11"/>
      <c r="D764" s="12">
        <v>5005</v>
      </c>
      <c r="E764" s="13">
        <v>400</v>
      </c>
      <c r="F764" s="16">
        <f>360/0.71</f>
        <v>507.04225352112678</v>
      </c>
    </row>
    <row r="765" spans="1:6" ht="15" customHeight="1" thickBot="1" x14ac:dyDescent="0.25">
      <c r="A765" s="10" t="s">
        <v>507</v>
      </c>
      <c r="B765" s="11" t="s">
        <v>505</v>
      </c>
      <c r="C765" s="11"/>
      <c r="D765" s="12">
        <v>140</v>
      </c>
      <c r="E765" s="13">
        <v>68.5</v>
      </c>
      <c r="F765" s="16">
        <f>75/1.42</f>
        <v>52.816901408450704</v>
      </c>
    </row>
    <row r="766" spans="1:6" ht="15" customHeight="1" x14ac:dyDescent="0.2">
      <c r="A766" s="3" t="s">
        <v>508</v>
      </c>
      <c r="B766" s="4"/>
      <c r="C766" s="4"/>
      <c r="D766" s="5"/>
      <c r="E766" s="5"/>
      <c r="F766" s="15"/>
    </row>
    <row r="767" spans="1:6" ht="15" customHeight="1" x14ac:dyDescent="0.2">
      <c r="A767" s="10" t="s">
        <v>508</v>
      </c>
      <c r="B767" s="11" t="s">
        <v>509</v>
      </c>
      <c r="C767" s="11"/>
      <c r="D767" s="12">
        <v>600</v>
      </c>
      <c r="E767" s="13">
        <v>294</v>
      </c>
      <c r="F767" s="16">
        <f>350/0.87</f>
        <v>402.29885057471267</v>
      </c>
    </row>
    <row r="768" spans="1:6" ht="15" customHeight="1" thickBot="1" x14ac:dyDescent="0.25">
      <c r="A768" s="10" t="s">
        <v>508</v>
      </c>
      <c r="B768" s="11"/>
      <c r="C768" s="11" t="s">
        <v>86</v>
      </c>
      <c r="D768" s="12">
        <v>4180</v>
      </c>
      <c r="E768" s="13">
        <v>750</v>
      </c>
      <c r="F768" s="16"/>
    </row>
    <row r="769" spans="1:6" ht="15" customHeight="1" x14ac:dyDescent="0.2">
      <c r="A769" s="3" t="s">
        <v>510</v>
      </c>
      <c r="B769" s="4"/>
      <c r="C769" s="4"/>
      <c r="D769" s="5"/>
      <c r="E769" s="5"/>
      <c r="F769" s="15"/>
    </row>
    <row r="770" spans="1:6" ht="15" customHeight="1" thickBot="1" x14ac:dyDescent="0.25">
      <c r="A770" s="10" t="s">
        <v>510</v>
      </c>
      <c r="B770" s="11" t="s">
        <v>110</v>
      </c>
      <c r="C770" s="11"/>
      <c r="D770" s="12">
        <v>795</v>
      </c>
      <c r="E770" s="13">
        <v>400</v>
      </c>
      <c r="F770" s="16">
        <f>985/2.25</f>
        <v>437.77777777777777</v>
      </c>
    </row>
    <row r="771" spans="1:6" ht="15" customHeight="1" x14ac:dyDescent="0.2">
      <c r="A771" s="3" t="s">
        <v>511</v>
      </c>
      <c r="B771" s="4"/>
      <c r="C771" s="4"/>
      <c r="D771" s="5"/>
      <c r="E771" s="5"/>
      <c r="F771" s="15"/>
    </row>
    <row r="772" spans="1:6" ht="15" customHeight="1" thickBot="1" x14ac:dyDescent="0.25">
      <c r="A772" s="10" t="s">
        <v>511</v>
      </c>
      <c r="B772" s="11" t="s">
        <v>11</v>
      </c>
      <c r="C772" s="11"/>
      <c r="D772" s="12">
        <v>4515</v>
      </c>
      <c r="E772" s="13">
        <v>400</v>
      </c>
      <c r="F772" s="16">
        <f>985/0.8</f>
        <v>1231.25</v>
      </c>
    </row>
    <row r="773" spans="1:6" ht="15" customHeight="1" x14ac:dyDescent="0.2">
      <c r="A773" s="3" t="s">
        <v>512</v>
      </c>
      <c r="B773" s="4"/>
      <c r="C773" s="4"/>
      <c r="D773" s="5"/>
      <c r="E773" s="5"/>
      <c r="F773" s="15"/>
    </row>
    <row r="774" spans="1:6" ht="15" customHeight="1" thickBot="1" x14ac:dyDescent="0.25">
      <c r="A774" s="10" t="s">
        <v>512</v>
      </c>
      <c r="B774" s="11" t="s">
        <v>36</v>
      </c>
      <c r="C774" s="11"/>
      <c r="D774" s="12">
        <v>1210</v>
      </c>
      <c r="E774" s="13">
        <v>337.5</v>
      </c>
      <c r="F774" s="16">
        <f>540/0.86</f>
        <v>627.90697674418607</v>
      </c>
    </row>
    <row r="775" spans="1:6" ht="15" customHeight="1" x14ac:dyDescent="0.2">
      <c r="A775" s="3" t="s">
        <v>513</v>
      </c>
      <c r="B775" s="4"/>
      <c r="C775" s="4"/>
      <c r="D775" s="5"/>
      <c r="E775" s="5"/>
      <c r="F775" s="15"/>
    </row>
    <row r="776" spans="1:6" ht="15" customHeight="1" x14ac:dyDescent="0.2">
      <c r="A776" s="10" t="s">
        <v>513</v>
      </c>
      <c r="B776" s="11" t="s">
        <v>7</v>
      </c>
      <c r="C776" s="11"/>
      <c r="D776" s="12">
        <v>1855</v>
      </c>
      <c r="E776" s="13">
        <v>425.25</v>
      </c>
      <c r="F776" s="16">
        <f>200/0.7</f>
        <v>285.71428571428572</v>
      </c>
    </row>
    <row r="777" spans="1:6" ht="15" customHeight="1" thickBot="1" x14ac:dyDescent="0.25">
      <c r="A777" s="10" t="s">
        <v>513</v>
      </c>
      <c r="B777" s="11" t="s">
        <v>51</v>
      </c>
      <c r="C777" s="11"/>
      <c r="D777" s="12">
        <v>1200</v>
      </c>
      <c r="E777" s="13">
        <v>602</v>
      </c>
      <c r="F777" s="16">
        <f>150/0.46</f>
        <v>326.08695652173913</v>
      </c>
    </row>
    <row r="778" spans="1:6" ht="15" customHeight="1" x14ac:dyDescent="0.2">
      <c r="A778" s="3" t="s">
        <v>514</v>
      </c>
      <c r="B778" s="4"/>
      <c r="C778" s="4"/>
      <c r="D778" s="5"/>
      <c r="E778" s="5"/>
      <c r="F778" s="15"/>
    </row>
    <row r="779" spans="1:6" ht="15" customHeight="1" x14ac:dyDescent="0.2">
      <c r="A779" s="10" t="s">
        <v>514</v>
      </c>
      <c r="B779" s="11" t="s">
        <v>515</v>
      </c>
      <c r="C779" s="11"/>
      <c r="D779" s="12">
        <v>5410</v>
      </c>
      <c r="E779" s="13">
        <v>602</v>
      </c>
      <c r="F779" s="16">
        <f>150/0.48</f>
        <v>312.5</v>
      </c>
    </row>
    <row r="780" spans="1:6" ht="15" customHeight="1" x14ac:dyDescent="0.2">
      <c r="A780" s="10" t="s">
        <v>514</v>
      </c>
      <c r="B780" s="11" t="s">
        <v>135</v>
      </c>
      <c r="C780" s="11"/>
      <c r="D780" s="12">
        <v>3600</v>
      </c>
      <c r="E780" s="13">
        <v>400</v>
      </c>
      <c r="F780" s="16">
        <f>985/1.78</f>
        <v>553.37078651685397</v>
      </c>
    </row>
    <row r="781" spans="1:6" ht="15" customHeight="1" x14ac:dyDescent="0.2">
      <c r="A781" s="10" t="s">
        <v>514</v>
      </c>
      <c r="B781" s="11" t="s">
        <v>516</v>
      </c>
      <c r="C781" s="11"/>
      <c r="D781" s="12">
        <v>1600</v>
      </c>
      <c r="E781" s="13">
        <v>400</v>
      </c>
      <c r="F781" s="16">
        <f>985/0.6</f>
        <v>1641.6666666666667</v>
      </c>
    </row>
    <row r="782" spans="1:6" ht="15" customHeight="1" x14ac:dyDescent="0.2">
      <c r="A782" s="10" t="s">
        <v>514</v>
      </c>
      <c r="B782" s="11" t="s">
        <v>517</v>
      </c>
      <c r="C782" s="11"/>
      <c r="D782" s="12">
        <v>5410</v>
      </c>
      <c r="E782" s="13">
        <v>602</v>
      </c>
      <c r="F782" s="16">
        <f>150/0.48</f>
        <v>312.5</v>
      </c>
    </row>
    <row r="783" spans="1:6" ht="15" customHeight="1" x14ac:dyDescent="0.2">
      <c r="A783" s="10" t="s">
        <v>514</v>
      </c>
      <c r="B783" s="11" t="s">
        <v>518</v>
      </c>
      <c r="C783" s="11"/>
      <c r="D783" s="12">
        <v>7200</v>
      </c>
      <c r="E783" s="13">
        <v>400</v>
      </c>
      <c r="F783" s="16">
        <f>985/4.51</f>
        <v>218.40354767184036</v>
      </c>
    </row>
    <row r="784" spans="1:6" ht="15" customHeight="1" x14ac:dyDescent="0.2">
      <c r="A784" s="10" t="s">
        <v>514</v>
      </c>
      <c r="B784" s="11" t="s">
        <v>519</v>
      </c>
      <c r="C784" s="11"/>
      <c r="D784" s="12">
        <v>7200</v>
      </c>
      <c r="E784" s="13">
        <v>400</v>
      </c>
      <c r="F784" s="16">
        <f>985/2.99</f>
        <v>329.4314381270903</v>
      </c>
    </row>
    <row r="785" spans="1:6" ht="15" customHeight="1" x14ac:dyDescent="0.2">
      <c r="A785" s="10" t="s">
        <v>514</v>
      </c>
      <c r="B785" s="11" t="s">
        <v>520</v>
      </c>
      <c r="C785" s="11"/>
      <c r="D785" s="12">
        <v>7200</v>
      </c>
      <c r="E785" s="13">
        <v>400</v>
      </c>
      <c r="F785" s="16">
        <f>985/5.05</f>
        <v>195.04950495049505</v>
      </c>
    </row>
    <row r="786" spans="1:6" ht="15" customHeight="1" x14ac:dyDescent="0.2">
      <c r="A786" s="10" t="s">
        <v>514</v>
      </c>
      <c r="B786" s="11" t="s">
        <v>521</v>
      </c>
      <c r="C786" s="11"/>
      <c r="D786" s="12">
        <v>3600</v>
      </c>
      <c r="E786" s="13">
        <v>400</v>
      </c>
      <c r="F786" s="16">
        <f>985/1.49</f>
        <v>661.07382550335569</v>
      </c>
    </row>
    <row r="787" spans="1:6" ht="15" customHeight="1" x14ac:dyDescent="0.2">
      <c r="A787" s="10" t="s">
        <v>514</v>
      </c>
      <c r="B787" s="11" t="s">
        <v>522</v>
      </c>
      <c r="C787" s="11"/>
      <c r="D787" s="12">
        <v>7200</v>
      </c>
      <c r="E787" s="13">
        <v>400</v>
      </c>
      <c r="F787" s="16">
        <f>985/2.9</f>
        <v>339.65517241379314</v>
      </c>
    </row>
    <row r="788" spans="1:6" ht="15" customHeight="1" x14ac:dyDescent="0.2">
      <c r="A788" s="10" t="s">
        <v>514</v>
      </c>
      <c r="B788" s="11"/>
      <c r="C788" s="11" t="s">
        <v>492</v>
      </c>
      <c r="D788" s="12">
        <v>7515</v>
      </c>
      <c r="E788" s="13">
        <v>750</v>
      </c>
      <c r="F788" s="16"/>
    </row>
    <row r="789" spans="1:6" ht="15" customHeight="1" thickBot="1" x14ac:dyDescent="0.25">
      <c r="A789" s="17" t="s">
        <v>514</v>
      </c>
      <c r="B789" s="18"/>
      <c r="C789" s="18" t="s">
        <v>178</v>
      </c>
      <c r="D789" s="19">
        <v>14125</v>
      </c>
      <c r="E789" s="20">
        <v>750</v>
      </c>
      <c r="F789" s="21"/>
    </row>
    <row r="790" spans="1:6" ht="15" customHeight="1" x14ac:dyDescent="0.2">
      <c r="D790" s="2"/>
    </row>
    <row r="791" spans="1:6" ht="15" customHeight="1" x14ac:dyDescent="0.2">
      <c r="D791" s="2"/>
    </row>
    <row r="792" spans="1:6" ht="15" customHeight="1" x14ac:dyDescent="0.2">
      <c r="D792" s="2"/>
    </row>
    <row r="793" spans="1:6" ht="15" customHeight="1" x14ac:dyDescent="0.2">
      <c r="D793" s="2"/>
    </row>
    <row r="794" spans="1:6" ht="15" customHeight="1" x14ac:dyDescent="0.2">
      <c r="D794" s="2"/>
    </row>
    <row r="795" spans="1:6" ht="15" customHeight="1" x14ac:dyDescent="0.2">
      <c r="D795" s="2"/>
    </row>
    <row r="796" spans="1:6" ht="15" customHeight="1" x14ac:dyDescent="0.2">
      <c r="D796" s="2"/>
    </row>
    <row r="797" spans="1:6" ht="15" customHeight="1" x14ac:dyDescent="0.2">
      <c r="D797" s="2"/>
    </row>
    <row r="798" spans="1:6" ht="15" customHeight="1" x14ac:dyDescent="0.2">
      <c r="D798" s="2"/>
    </row>
    <row r="799" spans="1:6" ht="15" customHeight="1" x14ac:dyDescent="0.2">
      <c r="D799" s="2"/>
    </row>
    <row r="800" spans="1:6" ht="15" customHeight="1" x14ac:dyDescent="0.2">
      <c r="D800" s="2"/>
    </row>
    <row r="801" spans="4:4" ht="15" customHeight="1" x14ac:dyDescent="0.2">
      <c r="D801" s="2"/>
    </row>
    <row r="802" spans="4:4" ht="15" customHeight="1" x14ac:dyDescent="0.2">
      <c r="D802" s="2"/>
    </row>
    <row r="803" spans="4:4" ht="15" customHeight="1" x14ac:dyDescent="0.2">
      <c r="D803" s="2"/>
    </row>
    <row r="804" spans="4:4" ht="15" customHeight="1" x14ac:dyDescent="0.2">
      <c r="D804" s="2"/>
    </row>
    <row r="805" spans="4:4" ht="15" customHeight="1" x14ac:dyDescent="0.2">
      <c r="D805" s="2"/>
    </row>
    <row r="806" spans="4:4" ht="15" customHeight="1" x14ac:dyDescent="0.2">
      <c r="D806" s="2"/>
    </row>
    <row r="807" spans="4:4" ht="15" customHeight="1" x14ac:dyDescent="0.2">
      <c r="D807" s="2"/>
    </row>
    <row r="808" spans="4:4" ht="15" customHeight="1" x14ac:dyDescent="0.2">
      <c r="D808" s="2"/>
    </row>
    <row r="809" spans="4:4" ht="15" customHeight="1" x14ac:dyDescent="0.2">
      <c r="D809" s="2"/>
    </row>
    <row r="810" spans="4:4" ht="15" customHeight="1" x14ac:dyDescent="0.2">
      <c r="D810" s="2"/>
    </row>
    <row r="811" spans="4:4" ht="15" customHeight="1" x14ac:dyDescent="0.2">
      <c r="D811" s="2"/>
    </row>
    <row r="812" spans="4:4" ht="15" customHeight="1" x14ac:dyDescent="0.2">
      <c r="D812" s="2"/>
    </row>
    <row r="813" spans="4:4" ht="15" customHeight="1" x14ac:dyDescent="0.2">
      <c r="D813" s="2"/>
    </row>
    <row r="814" spans="4:4" ht="15" customHeight="1" x14ac:dyDescent="0.2">
      <c r="D814" s="2"/>
    </row>
    <row r="815" spans="4:4" ht="15" customHeight="1" x14ac:dyDescent="0.2">
      <c r="D815" s="2"/>
    </row>
    <row r="816" spans="4:4" ht="15" customHeight="1" x14ac:dyDescent="0.2">
      <c r="D816" s="2"/>
    </row>
    <row r="817" spans="4:4" ht="15" customHeight="1" x14ac:dyDescent="0.2">
      <c r="D817" s="2"/>
    </row>
    <row r="818" spans="4:4" ht="15" customHeight="1" x14ac:dyDescent="0.2">
      <c r="D818" s="2"/>
    </row>
    <row r="819" spans="4:4" ht="15" customHeight="1" x14ac:dyDescent="0.2">
      <c r="D819" s="2"/>
    </row>
    <row r="820" spans="4:4" ht="15" customHeight="1" x14ac:dyDescent="0.2">
      <c r="D820" s="2"/>
    </row>
    <row r="821" spans="4:4" ht="15" customHeight="1" x14ac:dyDescent="0.2">
      <c r="D821" s="2"/>
    </row>
    <row r="822" spans="4:4" ht="15" customHeight="1" x14ac:dyDescent="0.2">
      <c r="D822" s="2"/>
    </row>
    <row r="823" spans="4:4" ht="15" customHeight="1" x14ac:dyDescent="0.2">
      <c r="D823" s="2"/>
    </row>
    <row r="824" spans="4:4" ht="15" customHeight="1" x14ac:dyDescent="0.2">
      <c r="D824" s="2"/>
    </row>
    <row r="825" spans="4:4" ht="15" customHeight="1" x14ac:dyDescent="0.2">
      <c r="D825" s="2"/>
    </row>
    <row r="826" spans="4:4" ht="15" customHeight="1" x14ac:dyDescent="0.2">
      <c r="D826" s="2"/>
    </row>
    <row r="827" spans="4:4" ht="15" customHeight="1" x14ac:dyDescent="0.2">
      <c r="D827" s="2"/>
    </row>
    <row r="828" spans="4:4" ht="15" customHeight="1" x14ac:dyDescent="0.2">
      <c r="D828" s="2"/>
    </row>
    <row r="829" spans="4:4" ht="15" customHeight="1" x14ac:dyDescent="0.2">
      <c r="D829" s="2"/>
    </row>
    <row r="830" spans="4:4" ht="15" customHeight="1" x14ac:dyDescent="0.2">
      <c r="D830" s="2"/>
    </row>
    <row r="831" spans="4:4" ht="15" customHeight="1" x14ac:dyDescent="0.2">
      <c r="D831" s="2"/>
    </row>
    <row r="832" spans="4:4" ht="15" customHeight="1" x14ac:dyDescent="0.2">
      <c r="D832" s="2"/>
    </row>
    <row r="833" spans="4:4" ht="15" customHeight="1" x14ac:dyDescent="0.2">
      <c r="D833" s="2"/>
    </row>
    <row r="834" spans="4:4" ht="15" customHeight="1" x14ac:dyDescent="0.2">
      <c r="D834" s="2"/>
    </row>
    <row r="835" spans="4:4" ht="15" customHeight="1" x14ac:dyDescent="0.2">
      <c r="D835" s="2"/>
    </row>
    <row r="836" spans="4:4" ht="15" customHeight="1" x14ac:dyDescent="0.2">
      <c r="D836" s="2"/>
    </row>
    <row r="837" spans="4:4" ht="15" customHeight="1" x14ac:dyDescent="0.2">
      <c r="D837" s="2"/>
    </row>
    <row r="838" spans="4:4" ht="15" customHeight="1" x14ac:dyDescent="0.2">
      <c r="D838" s="2"/>
    </row>
    <row r="839" spans="4:4" ht="15" customHeight="1" x14ac:dyDescent="0.2">
      <c r="D839" s="2"/>
    </row>
    <row r="840" spans="4:4" ht="15" customHeight="1" x14ac:dyDescent="0.2">
      <c r="D840" s="2"/>
    </row>
    <row r="841" spans="4:4" ht="15" customHeight="1" x14ac:dyDescent="0.2">
      <c r="D841" s="2"/>
    </row>
    <row r="842" spans="4:4" ht="15" customHeight="1" x14ac:dyDescent="0.2">
      <c r="D842" s="2"/>
    </row>
    <row r="843" spans="4:4" ht="15" customHeight="1" x14ac:dyDescent="0.2">
      <c r="D843" s="2"/>
    </row>
    <row r="844" spans="4:4" ht="15" customHeight="1" x14ac:dyDescent="0.2">
      <c r="D844" s="2"/>
    </row>
    <row r="845" spans="4:4" ht="15" customHeight="1" x14ac:dyDescent="0.2">
      <c r="D845" s="2"/>
    </row>
    <row r="846" spans="4:4" ht="15" customHeight="1" x14ac:dyDescent="0.2">
      <c r="D846" s="2"/>
    </row>
    <row r="847" spans="4:4" ht="15" customHeight="1" x14ac:dyDescent="0.2">
      <c r="D847" s="2"/>
    </row>
    <row r="848" spans="4:4" ht="15" customHeight="1" x14ac:dyDescent="0.2">
      <c r="D848" s="2"/>
    </row>
    <row r="849" spans="4:4" ht="15" customHeight="1" x14ac:dyDescent="0.2">
      <c r="D849" s="2"/>
    </row>
    <row r="850" spans="4:4" ht="15" customHeight="1" x14ac:dyDescent="0.2">
      <c r="D850" s="2"/>
    </row>
    <row r="851" spans="4:4" ht="15" customHeight="1" x14ac:dyDescent="0.2">
      <c r="D851" s="2"/>
    </row>
    <row r="852" spans="4:4" ht="15" customHeight="1" x14ac:dyDescent="0.2">
      <c r="D852" s="2"/>
    </row>
    <row r="853" spans="4:4" ht="15" customHeight="1" x14ac:dyDescent="0.2">
      <c r="D853" s="2"/>
    </row>
    <row r="854" spans="4:4" ht="15" customHeight="1" x14ac:dyDescent="0.2">
      <c r="D854" s="2"/>
    </row>
    <row r="855" spans="4:4" ht="15" customHeight="1" x14ac:dyDescent="0.2">
      <c r="D855" s="2"/>
    </row>
    <row r="856" spans="4:4" ht="15" customHeight="1" x14ac:dyDescent="0.2">
      <c r="D856" s="2"/>
    </row>
    <row r="857" spans="4:4" ht="15" customHeight="1" x14ac:dyDescent="0.2">
      <c r="D857" s="2"/>
    </row>
    <row r="858" spans="4:4" ht="15" customHeight="1" x14ac:dyDescent="0.2">
      <c r="D858" s="2"/>
    </row>
    <row r="859" spans="4:4" ht="15" customHeight="1" x14ac:dyDescent="0.2">
      <c r="D859" s="2"/>
    </row>
    <row r="860" spans="4:4" ht="15" customHeight="1" x14ac:dyDescent="0.2">
      <c r="D860" s="2"/>
    </row>
    <row r="861" spans="4:4" ht="15" customHeight="1" x14ac:dyDescent="0.2">
      <c r="D861" s="2"/>
    </row>
    <row r="862" spans="4:4" ht="15" customHeight="1" x14ac:dyDescent="0.2">
      <c r="D862" s="2"/>
    </row>
    <row r="863" spans="4:4" ht="15" customHeight="1" x14ac:dyDescent="0.2">
      <c r="D863" s="2"/>
    </row>
    <row r="864" spans="4:4" ht="15" customHeight="1" x14ac:dyDescent="0.2">
      <c r="D864" s="2"/>
    </row>
    <row r="865" spans="4:4" ht="15" customHeight="1" x14ac:dyDescent="0.2">
      <c r="D865" s="2"/>
    </row>
    <row r="866" spans="4:4" ht="15" customHeight="1" x14ac:dyDescent="0.2">
      <c r="D866" s="2"/>
    </row>
    <row r="867" spans="4:4" ht="15" customHeight="1" x14ac:dyDescent="0.2">
      <c r="D867" s="2"/>
    </row>
    <row r="868" spans="4:4" ht="15" customHeight="1" x14ac:dyDescent="0.2">
      <c r="D868" s="2"/>
    </row>
    <row r="869" spans="4:4" ht="15" customHeight="1" x14ac:dyDescent="0.2">
      <c r="D869" s="2"/>
    </row>
    <row r="870" spans="4:4" ht="15" customHeight="1" x14ac:dyDescent="0.2">
      <c r="D870" s="2"/>
    </row>
    <row r="871" spans="4:4" ht="15" customHeight="1" x14ac:dyDescent="0.2">
      <c r="D871" s="2"/>
    </row>
    <row r="872" spans="4:4" ht="15" customHeight="1" x14ac:dyDescent="0.2">
      <c r="D872" s="2"/>
    </row>
    <row r="873" spans="4:4" ht="15" customHeight="1" x14ac:dyDescent="0.2">
      <c r="D873" s="2"/>
    </row>
    <row r="874" spans="4:4" ht="15" customHeight="1" x14ac:dyDescent="0.2">
      <c r="D874" s="2"/>
    </row>
    <row r="875" spans="4:4" ht="15" customHeight="1" x14ac:dyDescent="0.2">
      <c r="D875" s="2"/>
    </row>
    <row r="876" spans="4:4" ht="15" customHeight="1" x14ac:dyDescent="0.2">
      <c r="D876" s="2"/>
    </row>
    <row r="877" spans="4:4" ht="15" customHeight="1" x14ac:dyDescent="0.2">
      <c r="D877" s="2"/>
    </row>
    <row r="878" spans="4:4" ht="15" customHeight="1" x14ac:dyDescent="0.2">
      <c r="D878" s="2"/>
    </row>
    <row r="879" spans="4:4" ht="15" customHeight="1" x14ac:dyDescent="0.2">
      <c r="D879" s="2"/>
    </row>
    <row r="880" spans="4:4" ht="15" customHeight="1" x14ac:dyDescent="0.2">
      <c r="D880" s="2"/>
    </row>
    <row r="881" spans="4:4" ht="15" customHeight="1" x14ac:dyDescent="0.2">
      <c r="D881" s="2"/>
    </row>
    <row r="882" spans="4:4" ht="15" customHeight="1" x14ac:dyDescent="0.2">
      <c r="D882" s="2"/>
    </row>
    <row r="883" spans="4:4" ht="15" customHeight="1" x14ac:dyDescent="0.2">
      <c r="D883" s="2"/>
    </row>
    <row r="884" spans="4:4" ht="15" customHeight="1" x14ac:dyDescent="0.2">
      <c r="D884" s="2"/>
    </row>
    <row r="885" spans="4:4" ht="15" customHeight="1" x14ac:dyDescent="0.2">
      <c r="D885" s="2"/>
    </row>
    <row r="886" spans="4:4" ht="15" customHeight="1" x14ac:dyDescent="0.2">
      <c r="D886" s="2"/>
    </row>
    <row r="887" spans="4:4" ht="15" customHeight="1" x14ac:dyDescent="0.2">
      <c r="D887" s="2"/>
    </row>
    <row r="888" spans="4:4" ht="15" customHeight="1" x14ac:dyDescent="0.2">
      <c r="D888" s="2"/>
    </row>
    <row r="889" spans="4:4" ht="15" customHeight="1" x14ac:dyDescent="0.2">
      <c r="D889" s="2"/>
    </row>
    <row r="890" spans="4:4" ht="15" customHeight="1" x14ac:dyDescent="0.2">
      <c r="D890" s="2"/>
    </row>
    <row r="891" spans="4:4" ht="15" customHeight="1" x14ac:dyDescent="0.2">
      <c r="D891" s="2"/>
    </row>
    <row r="892" spans="4:4" ht="15" customHeight="1" x14ac:dyDescent="0.2">
      <c r="D892" s="2"/>
    </row>
    <row r="893" spans="4:4" ht="15" customHeight="1" x14ac:dyDescent="0.2">
      <c r="D893" s="2"/>
    </row>
    <row r="894" spans="4:4" ht="15" customHeight="1" x14ac:dyDescent="0.2">
      <c r="D894" s="2"/>
    </row>
    <row r="895" spans="4:4" ht="15" customHeight="1" x14ac:dyDescent="0.2">
      <c r="D895" s="2"/>
    </row>
    <row r="896" spans="4:4" ht="15" customHeight="1" x14ac:dyDescent="0.2">
      <c r="D896" s="2"/>
    </row>
    <row r="897" spans="4:4" ht="15" customHeight="1" x14ac:dyDescent="0.2">
      <c r="D897" s="2"/>
    </row>
    <row r="898" spans="4:4" ht="15" customHeight="1" x14ac:dyDescent="0.2">
      <c r="D898" s="2"/>
    </row>
    <row r="899" spans="4:4" ht="15" customHeight="1" x14ac:dyDescent="0.2">
      <c r="D899" s="2"/>
    </row>
    <row r="900" spans="4:4" ht="15" customHeight="1" x14ac:dyDescent="0.2">
      <c r="D900" s="2"/>
    </row>
    <row r="901" spans="4:4" ht="15" customHeight="1" x14ac:dyDescent="0.2">
      <c r="D901" s="2"/>
    </row>
    <row r="902" spans="4:4" ht="15" customHeight="1" x14ac:dyDescent="0.2">
      <c r="D902" s="2"/>
    </row>
    <row r="903" spans="4:4" ht="15" customHeight="1" x14ac:dyDescent="0.2">
      <c r="D903" s="2"/>
    </row>
    <row r="904" spans="4:4" ht="15" customHeight="1" x14ac:dyDescent="0.2">
      <c r="D904" s="2"/>
    </row>
    <row r="905" spans="4:4" ht="15" customHeight="1" x14ac:dyDescent="0.2">
      <c r="D905" s="2"/>
    </row>
    <row r="906" spans="4:4" ht="15" customHeight="1" x14ac:dyDescent="0.2">
      <c r="D906" s="2"/>
    </row>
    <row r="907" spans="4:4" ht="15" customHeight="1" x14ac:dyDescent="0.2">
      <c r="D907" s="2"/>
    </row>
    <row r="908" spans="4:4" ht="15" customHeight="1" x14ac:dyDescent="0.2">
      <c r="D908" s="2"/>
    </row>
    <row r="909" spans="4:4" ht="15" customHeight="1" x14ac:dyDescent="0.2"/>
    <row r="910" spans="4:4" ht="15" customHeight="1" x14ac:dyDescent="0.2"/>
    <row r="911" spans="4:4" ht="15" customHeight="1" x14ac:dyDescent="0.2"/>
    <row r="912" spans="4:4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</sheetData>
  <conditionalFormatting sqref="A638 A32 A53 A589:A590 A461 A411">
    <cfRule type="expression" dxfId="3" priority="7">
      <formula>#REF!&lt;&gt;#REF!</formula>
    </cfRule>
  </conditionalFormatting>
  <conditionalFormatting sqref="A585 A463">
    <cfRule type="expression" dxfId="2" priority="6">
      <formula>#REF!&lt;&gt;#REF!</formula>
    </cfRule>
  </conditionalFormatting>
  <conditionalFormatting sqref="A512">
    <cfRule type="expression" dxfId="1" priority="3">
      <formula>#REF!&lt;&gt;#REF!</formula>
    </cfRule>
  </conditionalFormatting>
  <conditionalFormatting sqref="E1">
    <cfRule type="cellIs" dxfId="0" priority="1" operator="equal">
      <formula>"""0"""</formula>
    </cfRule>
  </conditionalFormatting>
  <pageMargins left="0.31496062992126" right="0.31496062992126" top="0.39370078740157499" bottom="0.39370078740157499" header="0.31496062992126" footer="0.31496062992126"/>
  <pageSetup paperSize="5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Breakdown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Ongkeko</dc:creator>
  <cp:lastModifiedBy>Cody Fowler</cp:lastModifiedBy>
  <dcterms:created xsi:type="dcterms:W3CDTF">2019-03-21T20:29:42Z</dcterms:created>
  <dcterms:modified xsi:type="dcterms:W3CDTF">2019-04-03T14:46:39Z</dcterms:modified>
</cp:coreProperties>
</file>